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\Макеева\протоколы на комитеты\Партнерський КЕШ\сайт\"/>
    </mc:Choice>
  </mc:AlternateContent>
  <bookViews>
    <workbookView xWindow="0" yWindow="0" windowWidth="23040" windowHeight="8616"/>
  </bookViews>
  <sheets>
    <sheet name="Аркуш1" sheetId="1" r:id="rId1"/>
    <sheet name="аркуш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6" i="1"/>
  <c r="L7" i="1" s="1"/>
  <c r="F6" i="1" l="1"/>
  <c r="F7" i="1" s="1"/>
  <c r="F16" i="1" l="1"/>
  <c r="X26" i="1"/>
  <c r="F15" i="1"/>
  <c r="E10" i="1" l="1"/>
  <c r="F9" i="1"/>
  <c r="AB34" i="1" s="1"/>
  <c r="E14" i="1" l="1"/>
  <c r="W25" i="1"/>
  <c r="W26" i="1" s="1"/>
  <c r="W29" i="1" l="1"/>
  <c r="W30" i="1" s="1"/>
  <c r="I86" i="1" l="1"/>
  <c r="G27" i="1" l="1"/>
  <c r="G28" i="1"/>
  <c r="G26" i="1"/>
  <c r="E6" i="1" l="1"/>
  <c r="F10" i="1" l="1"/>
  <c r="F14" i="1" s="1"/>
  <c r="G66" i="1" s="1"/>
  <c r="G75" i="1" l="1"/>
  <c r="H25" i="1"/>
  <c r="H86" i="1" s="1"/>
  <c r="G81" i="1"/>
  <c r="G69" i="1"/>
  <c r="G78" i="1"/>
  <c r="F12" i="1"/>
  <c r="C25" i="1" s="1"/>
  <c r="D25" i="1" s="1"/>
  <c r="E25" i="1" s="1"/>
  <c r="J25" i="1" s="1"/>
  <c r="G51" i="1"/>
  <c r="G72" i="1"/>
  <c r="G46" i="1"/>
  <c r="G62" i="1"/>
  <c r="G53" i="1"/>
  <c r="G64" i="1"/>
  <c r="G73" i="1"/>
  <c r="G63" i="1"/>
  <c r="G45" i="1"/>
  <c r="G29" i="1"/>
  <c r="G52" i="1"/>
  <c r="G85" i="1"/>
  <c r="G60" i="1"/>
  <c r="G61" i="1"/>
  <c r="G59" i="1"/>
  <c r="G57" i="1"/>
  <c r="G37" i="1"/>
  <c r="G79" i="1"/>
  <c r="G65" i="1"/>
  <c r="G44" i="1"/>
  <c r="G77" i="1"/>
  <c r="G39" i="1"/>
  <c r="G47" i="1"/>
  <c r="G43" i="1"/>
  <c r="G70" i="1"/>
  <c r="G41" i="1"/>
  <c r="G71" i="1"/>
  <c r="G48" i="1"/>
  <c r="G49" i="1"/>
  <c r="G67" i="1"/>
  <c r="G76" i="1"/>
  <c r="G50" i="1"/>
  <c r="G55" i="1"/>
  <c r="G40" i="1"/>
  <c r="G33" i="1"/>
  <c r="G68" i="1"/>
  <c r="G35" i="1"/>
  <c r="G84" i="1"/>
  <c r="G74" i="1"/>
  <c r="G54" i="1"/>
  <c r="G83" i="1"/>
  <c r="G30" i="1"/>
  <c r="G36" i="1"/>
  <c r="G34" i="1"/>
  <c r="G82" i="1"/>
  <c r="G58" i="1"/>
  <c r="G56" i="1"/>
  <c r="G31" i="1"/>
  <c r="G32" i="1"/>
  <c r="G42" i="1"/>
  <c r="G80" i="1"/>
  <c r="G38" i="1"/>
  <c r="F26" i="1" l="1"/>
  <c r="E26" i="1" s="1"/>
  <c r="G86" i="1"/>
  <c r="D26" i="1" l="1"/>
  <c r="C26" i="1"/>
  <c r="J26" i="1"/>
  <c r="F27" i="1" l="1"/>
  <c r="F19" i="1"/>
  <c r="E27" i="1" l="1"/>
  <c r="J27" i="1" l="1"/>
  <c r="D27" i="1"/>
  <c r="C27" i="1"/>
  <c r="F28" i="1" l="1"/>
  <c r="E28" i="1" l="1"/>
  <c r="J28" i="1" l="1"/>
  <c r="D28" i="1"/>
  <c r="C28" i="1"/>
  <c r="F29" i="1" l="1"/>
  <c r="E29" i="1" l="1"/>
  <c r="J29" i="1" l="1"/>
  <c r="D29" i="1"/>
  <c r="C29" i="1"/>
  <c r="F30" i="1" l="1"/>
  <c r="E30" i="1" s="1"/>
  <c r="D30" i="1" l="1"/>
  <c r="J30" i="1"/>
  <c r="C30" i="1"/>
  <c r="F31" i="1" l="1"/>
  <c r="E31" i="1" s="1"/>
  <c r="C31" i="1" s="1"/>
  <c r="F32" i="1" l="1"/>
  <c r="E32" i="1" s="1"/>
  <c r="J31" i="1"/>
  <c r="D31" i="1"/>
  <c r="D32" i="1" l="1"/>
  <c r="J32" i="1"/>
  <c r="C32" i="1"/>
  <c r="F33" i="1" l="1"/>
  <c r="E33" i="1" s="1"/>
  <c r="C33" i="1" s="1"/>
  <c r="F34" i="1" l="1"/>
  <c r="E34" i="1" s="1"/>
  <c r="C34" i="1" s="1"/>
  <c r="J33" i="1"/>
  <c r="D33" i="1"/>
  <c r="F35" i="1" l="1"/>
  <c r="E35" i="1" s="1"/>
  <c r="D34" i="1"/>
  <c r="J34" i="1"/>
  <c r="J35" i="1" l="1"/>
  <c r="D35" i="1"/>
  <c r="C35" i="1"/>
  <c r="F36" i="1" l="1"/>
  <c r="E36" i="1" s="1"/>
  <c r="C36" i="1" s="1"/>
  <c r="F37" i="1" l="1"/>
  <c r="E37" i="1" s="1"/>
  <c r="C37" i="1" s="1"/>
  <c r="J36" i="1"/>
  <c r="D36" i="1"/>
  <c r="F38" i="1" l="1"/>
  <c r="E38" i="1" s="1"/>
  <c r="J37" i="1"/>
  <c r="D37" i="1"/>
  <c r="D38" i="1" l="1"/>
  <c r="J38" i="1"/>
  <c r="C38" i="1"/>
  <c r="F39" i="1" l="1"/>
  <c r="E39" i="1" s="1"/>
  <c r="D39" i="1" l="1"/>
  <c r="J39" i="1"/>
  <c r="C39" i="1"/>
  <c r="F40" i="1" l="1"/>
  <c r="E40" i="1" s="1"/>
  <c r="C40" i="1" s="1"/>
  <c r="F41" i="1" l="1"/>
  <c r="E41" i="1" s="1"/>
  <c r="C41" i="1" s="1"/>
  <c r="D40" i="1"/>
  <c r="J40" i="1"/>
  <c r="F42" i="1" l="1"/>
  <c r="E42" i="1" s="1"/>
  <c r="J41" i="1"/>
  <c r="D41" i="1"/>
  <c r="J42" i="1" l="1"/>
  <c r="D42" i="1"/>
  <c r="C42" i="1"/>
  <c r="F43" i="1" l="1"/>
  <c r="E43" i="1" s="1"/>
  <c r="J43" i="1" l="1"/>
  <c r="D43" i="1"/>
  <c r="C43" i="1"/>
  <c r="F44" i="1" l="1"/>
  <c r="E44" i="1" s="1"/>
  <c r="D44" i="1" l="1"/>
  <c r="J44" i="1"/>
  <c r="C44" i="1"/>
  <c r="F45" i="1" l="1"/>
  <c r="E45" i="1" s="1"/>
  <c r="C45" i="1" s="1"/>
  <c r="F46" i="1" l="1"/>
  <c r="E46" i="1" s="1"/>
  <c r="D45" i="1"/>
  <c r="J45" i="1"/>
  <c r="J46" i="1" l="1"/>
  <c r="D46" i="1"/>
  <c r="C46" i="1"/>
  <c r="F47" i="1" l="1"/>
  <c r="E47" i="1" s="1"/>
  <c r="D47" i="1" l="1"/>
  <c r="J47" i="1"/>
  <c r="C47" i="1"/>
  <c r="F48" i="1" l="1"/>
  <c r="E48" i="1" s="1"/>
  <c r="C48" i="1" s="1"/>
  <c r="F49" i="1" l="1"/>
  <c r="E49" i="1" s="1"/>
  <c r="C49" i="1" s="1"/>
  <c r="J48" i="1"/>
  <c r="D48" i="1"/>
  <c r="F50" i="1" l="1"/>
  <c r="E50" i="1" s="1"/>
  <c r="C50" i="1" s="1"/>
  <c r="D49" i="1"/>
  <c r="J49" i="1"/>
  <c r="F51" i="1" l="1"/>
  <c r="E51" i="1" s="1"/>
  <c r="C51" i="1" s="1"/>
  <c r="J50" i="1"/>
  <c r="D50" i="1"/>
  <c r="F52" i="1" l="1"/>
  <c r="E52" i="1" s="1"/>
  <c r="C52" i="1" s="1"/>
  <c r="J51" i="1"/>
  <c r="D51" i="1"/>
  <c r="F53" i="1" l="1"/>
  <c r="E53" i="1" s="1"/>
  <c r="J52" i="1"/>
  <c r="D52" i="1"/>
  <c r="J53" i="1" l="1"/>
  <c r="D53" i="1"/>
  <c r="C53" i="1"/>
  <c r="F54" i="1" l="1"/>
  <c r="E54" i="1" s="1"/>
  <c r="C54" i="1" s="1"/>
  <c r="F55" i="1" l="1"/>
  <c r="E55" i="1" s="1"/>
  <c r="J54" i="1"/>
  <c r="D54" i="1"/>
  <c r="D55" i="1" l="1"/>
  <c r="J55" i="1"/>
  <c r="C55" i="1"/>
  <c r="F56" i="1" l="1"/>
  <c r="E56" i="1" s="1"/>
  <c r="C56" i="1" s="1"/>
  <c r="F57" i="1" l="1"/>
  <c r="E57" i="1" s="1"/>
  <c r="C57" i="1" s="1"/>
  <c r="J56" i="1"/>
  <c r="D56" i="1"/>
  <c r="F58" i="1" l="1"/>
  <c r="E58" i="1" s="1"/>
  <c r="C58" i="1" s="1"/>
  <c r="D57" i="1"/>
  <c r="J57" i="1"/>
  <c r="F59" i="1" l="1"/>
  <c r="E59" i="1" s="1"/>
  <c r="C59" i="1" s="1"/>
  <c r="J58" i="1"/>
  <c r="D58" i="1"/>
  <c r="F60" i="1" l="1"/>
  <c r="E60" i="1" s="1"/>
  <c r="C60" i="1" s="1"/>
  <c r="J59" i="1"/>
  <c r="D59" i="1"/>
  <c r="F61" i="1" l="1"/>
  <c r="E61" i="1" s="1"/>
  <c r="C61" i="1" s="1"/>
  <c r="D60" i="1"/>
  <c r="J60" i="1"/>
  <c r="F62" i="1" l="1"/>
  <c r="E62" i="1" s="1"/>
  <c r="D61" i="1"/>
  <c r="J61" i="1"/>
  <c r="J62" i="1" l="1"/>
  <c r="D62" i="1"/>
  <c r="C62" i="1"/>
  <c r="F63" i="1" l="1"/>
  <c r="E63" i="1" s="1"/>
  <c r="J63" i="1" l="1"/>
  <c r="D63" i="1"/>
  <c r="C63" i="1"/>
  <c r="F64" i="1" l="1"/>
  <c r="E64" i="1" s="1"/>
  <c r="D64" i="1" l="1"/>
  <c r="J64" i="1"/>
  <c r="C64" i="1"/>
  <c r="F65" i="1" l="1"/>
  <c r="E65" i="1" s="1"/>
  <c r="D65" i="1" l="1"/>
  <c r="J65" i="1"/>
  <c r="C65" i="1"/>
  <c r="F66" i="1" l="1"/>
  <c r="E66" i="1" s="1"/>
  <c r="C66" i="1" s="1"/>
  <c r="F67" i="1" l="1"/>
  <c r="E67" i="1" s="1"/>
  <c r="C67" i="1" s="1"/>
  <c r="J66" i="1"/>
  <c r="D66" i="1"/>
  <c r="F68" i="1" l="1"/>
  <c r="E68" i="1" s="1"/>
  <c r="D67" i="1"/>
  <c r="J67" i="1"/>
  <c r="J68" i="1" l="1"/>
  <c r="D68" i="1"/>
  <c r="C68" i="1"/>
  <c r="F69" i="1" l="1"/>
  <c r="E69" i="1" s="1"/>
  <c r="D69" i="1" l="1"/>
  <c r="J69" i="1"/>
  <c r="C69" i="1"/>
  <c r="F70" i="1" l="1"/>
  <c r="E70" i="1" s="1"/>
  <c r="D70" i="1" l="1"/>
  <c r="J70" i="1"/>
  <c r="C70" i="1"/>
  <c r="F71" i="1" l="1"/>
  <c r="E71" i="1" s="1"/>
  <c r="C71" i="1" s="1"/>
  <c r="F72" i="1" l="1"/>
  <c r="E72" i="1" s="1"/>
  <c r="J71" i="1"/>
  <c r="D71" i="1"/>
  <c r="D72" i="1" l="1"/>
  <c r="J72" i="1"/>
  <c r="C72" i="1"/>
  <c r="F73" i="1" l="1"/>
  <c r="E73" i="1" s="1"/>
  <c r="J73" i="1" l="1"/>
  <c r="D73" i="1"/>
  <c r="C73" i="1"/>
  <c r="F74" i="1" l="1"/>
  <c r="E74" i="1" s="1"/>
  <c r="C74" i="1" s="1"/>
  <c r="F75" i="1" l="1"/>
  <c r="E75" i="1" s="1"/>
  <c r="D74" i="1"/>
  <c r="J74" i="1"/>
  <c r="J75" i="1" l="1"/>
  <c r="D75" i="1"/>
  <c r="C75" i="1"/>
  <c r="F76" i="1" l="1"/>
  <c r="E76" i="1" s="1"/>
  <c r="D76" i="1" l="1"/>
  <c r="J76" i="1"/>
  <c r="C76" i="1"/>
  <c r="F77" i="1" l="1"/>
  <c r="E77" i="1" s="1"/>
  <c r="D77" i="1" l="1"/>
  <c r="J77" i="1"/>
  <c r="C77" i="1"/>
  <c r="F78" i="1" l="1"/>
  <c r="E78" i="1" s="1"/>
  <c r="D78" i="1" l="1"/>
  <c r="J78" i="1"/>
  <c r="C78" i="1"/>
  <c r="F79" i="1" l="1"/>
  <c r="E79" i="1" s="1"/>
  <c r="C79" i="1" s="1"/>
  <c r="F80" i="1" l="1"/>
  <c r="E80" i="1" s="1"/>
  <c r="C80" i="1" s="1"/>
  <c r="J79" i="1"/>
  <c r="D79" i="1"/>
  <c r="F81" i="1" l="1"/>
  <c r="E81" i="1" s="1"/>
  <c r="C81" i="1" s="1"/>
  <c r="J80" i="1"/>
  <c r="D80" i="1"/>
  <c r="F82" i="1" l="1"/>
  <c r="E82" i="1" s="1"/>
  <c r="D81" i="1"/>
  <c r="J81" i="1"/>
  <c r="J82" i="1" l="1"/>
  <c r="D82" i="1"/>
  <c r="C82" i="1"/>
  <c r="F83" i="1" l="1"/>
  <c r="E83" i="1" s="1"/>
  <c r="D83" i="1" l="1"/>
  <c r="J83" i="1"/>
  <c r="C83" i="1"/>
  <c r="F84" i="1" l="1"/>
  <c r="E84" i="1" s="1"/>
  <c r="C84" i="1" s="1"/>
  <c r="F85" i="1" l="1"/>
  <c r="F86" i="1" s="1"/>
  <c r="F20" i="1" s="1"/>
  <c r="F21" i="1" s="1"/>
  <c r="D84" i="1"/>
  <c r="J84" i="1"/>
  <c r="E85" i="1" l="1"/>
  <c r="C85" i="1" s="1"/>
  <c r="E86" i="1" l="1"/>
  <c r="D85" i="1"/>
  <c r="D86" i="1" s="1"/>
  <c r="J85" i="1"/>
  <c r="F22" i="1" s="1"/>
</calcChain>
</file>

<file path=xl/sharedStrings.xml><?xml version="1.0" encoding="utf-8"?>
<sst xmlns="http://schemas.openxmlformats.org/spreadsheetml/2006/main" count="165" uniqueCount="42">
  <si>
    <t>Мінімальний первинний внесок</t>
  </si>
  <si>
    <t>Вартість товарів та послуг, грн</t>
  </si>
  <si>
    <t>Пільговий період, міс</t>
  </si>
  <si>
    <t xml:space="preserve">Сума кредиту для оплати вартості товарів тапослуг, грн </t>
  </si>
  <si>
    <t>Періодична комісія в пільговий період</t>
  </si>
  <si>
    <t>-</t>
  </si>
  <si>
    <t>Періодична комісія після пільгового періоду</t>
  </si>
  <si>
    <t>Сума страхового платежу за перший рік</t>
  </si>
  <si>
    <t>Одноразова комісія за надання кредиту</t>
  </si>
  <si>
    <t>*Орієнтовно на дату розрахунку, конкретні умови кредитування будуть вказані в паспорті споживчого кредиту в день оформлення кредитної заявки, та можуть відрізнятись в залежності від обраного товару та магазину.</t>
  </si>
  <si>
    <t xml:space="preserve">Сума щомісячного платежу, грн </t>
  </si>
  <si>
    <t>Загальні витрати за кредитом, грн</t>
  </si>
  <si>
    <t>Орієнтовна загальна вартість кредиту, грн</t>
  </si>
  <si>
    <t>Реальна процентна ставка</t>
  </si>
  <si>
    <t>Дата платежу</t>
  </si>
  <si>
    <t>№ п/п</t>
  </si>
  <si>
    <t>Сума платежу за розрахунковий період, грн</t>
  </si>
  <si>
    <t>Сума погашення тіла кредиту, грн</t>
  </si>
  <si>
    <t>Проценти за користування кредитом, грн</t>
  </si>
  <si>
    <t>Щомісячна комісія, грн</t>
  </si>
  <si>
    <t>Комісія за надання кредиту, грн</t>
  </si>
  <si>
    <t>Послуги страховика, грн</t>
  </si>
  <si>
    <t>Сума боргу, грн</t>
  </si>
  <si>
    <t>Строк кредиту, міс</t>
  </si>
  <si>
    <t>ПЛТ/суми кредиту</t>
  </si>
  <si>
    <t>Процентна ставка, річних</t>
  </si>
  <si>
    <t>Грошові потоки клієнта</t>
  </si>
  <si>
    <t>РЕЗУЛЬТАТ РОЗРАХУНКУ*</t>
  </si>
  <si>
    <t>*Приклад розрахунку носить виключно інформаційний характер.</t>
  </si>
  <si>
    <t>Для отримання розрахунку необхідно заповнити (обрати значення) комірки, 
що відображені сірим кольором.</t>
  </si>
  <si>
    <t xml:space="preserve">Загальна сума кредиту </t>
  </si>
  <si>
    <t>Строк</t>
  </si>
  <si>
    <t>Пыльговий період</t>
  </si>
  <si>
    <t>ПЛТ</t>
  </si>
  <si>
    <t>ПП 6 міс_без комісу</t>
  </si>
  <si>
    <t xml:space="preserve"> ПП 3/6 міс</t>
  </si>
  <si>
    <t>Програма кредитування</t>
  </si>
  <si>
    <t xml:space="preserve">   мінімальна вартість послуги (товару) 
   3 175 грн - для Програми кредитування 1 або 2
   3 334 грн - для Програми кредитування  3</t>
  </si>
  <si>
    <t>програма</t>
  </si>
  <si>
    <t>КАЛЬКУЛЯТОР РОЗРАХУНКУ ЗАГАЛЬНОЇ ВАРТОСТІ КРЕДИТУ
за банквіським продуктом 
«Споживчий кредит на купівлю товарів та послуг  у Партнерів 
в АТ «БАНК КРЕДИТ ДНІПРО»»</t>
  </si>
  <si>
    <t xml:space="preserve">   максимальна загальна сума кредиту 500 000 грн</t>
  </si>
  <si>
    <t>визнаення суми для оплати вартості товарів для програми 1 та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</si>
</sst>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&quot;₴&quot;;[Red]\-#,##0.00&quot;₴&quot;"/>
    <numFmt numFmtId="44" formatCode="_-* #,##0.00&quot;₴&quot;_-;\-* #,##0.00&quot;₴&quot;_-;_-* &quot;-&quot;??&quot;₴&quot;_-;_-@_-"/>
    <numFmt numFmtId="164" formatCode="#,##0.00&quot;₴&quot;"/>
    <numFmt numFmtId="165" formatCode="0.0000%"/>
    <numFmt numFmtId="166" formatCode="0.0000"/>
  </numFmts>
  <fonts count="1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i/>
      <sz val="9.5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164" fontId="2" fillId="0" borderId="13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164" fontId="1" fillId="0" borderId="0" xfId="0" applyNumberFormat="1" applyFont="1"/>
    <xf numFmtId="164" fontId="1" fillId="0" borderId="13" xfId="0" applyNumberFormat="1" applyFont="1" applyBorder="1" applyAlignment="1" applyProtection="1">
      <alignment horizontal="center" vertical="center"/>
      <protection hidden="1"/>
    </xf>
    <xf numFmtId="2" fontId="1" fillId="0" borderId="0" xfId="0" applyNumberFormat="1" applyFont="1"/>
    <xf numFmtId="9" fontId="1" fillId="0" borderId="0" xfId="0" applyNumberFormat="1" applyFont="1" applyBorder="1" applyAlignment="1">
      <alignment horizontal="center" vertical="center"/>
    </xf>
    <xf numFmtId="44" fontId="1" fillId="0" borderId="0" xfId="0" applyNumberFormat="1" applyFont="1" applyAlignment="1">
      <alignment horizontal="center"/>
    </xf>
    <xf numFmtId="164" fontId="2" fillId="0" borderId="13" xfId="0" applyNumberFormat="1" applyFont="1" applyBorder="1" applyAlignment="1" applyProtection="1">
      <alignment horizontal="center" vertical="center"/>
      <protection hidden="1"/>
    </xf>
    <xf numFmtId="165" fontId="2" fillId="0" borderId="14" xfId="0" applyNumberFormat="1" applyFont="1" applyBorder="1" applyAlignment="1" applyProtection="1">
      <alignment horizontal="center" vertical="center"/>
      <protection hidden="1"/>
    </xf>
    <xf numFmtId="4" fontId="2" fillId="0" borderId="4" xfId="0" applyNumberFormat="1" applyFont="1" applyBorder="1" applyProtection="1">
      <protection hidden="1"/>
    </xf>
    <xf numFmtId="4" fontId="2" fillId="0" borderId="6" xfId="0" applyNumberFormat="1" applyFont="1" applyBorder="1" applyProtection="1">
      <protection hidden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right" vertical="center" wrapText="1"/>
      <protection hidden="1"/>
    </xf>
    <xf numFmtId="14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Protection="1">
      <protection hidden="1"/>
    </xf>
    <xf numFmtId="10" fontId="1" fillId="0" borderId="0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 applyProtection="1">
      <alignment horizontal="center" wrapText="1"/>
      <protection hidden="1"/>
    </xf>
    <xf numFmtId="4" fontId="1" fillId="0" borderId="1" xfId="0" applyNumberFormat="1" applyFont="1" applyBorder="1" applyAlignment="1" applyProtection="1">
      <alignment horizontal="center"/>
      <protection hidden="1"/>
    </xf>
    <xf numFmtId="4" fontId="1" fillId="0" borderId="1" xfId="0" applyNumberFormat="1" applyFont="1" applyFill="1" applyBorder="1" applyAlignment="1" applyProtection="1">
      <alignment horizontal="center"/>
      <protection hidden="1"/>
    </xf>
    <xf numFmtId="10" fontId="2" fillId="0" borderId="9" xfId="0" applyNumberFormat="1" applyFont="1" applyBorder="1" applyProtection="1">
      <protection hidden="1"/>
    </xf>
    <xf numFmtId="0" fontId="2" fillId="0" borderId="13" xfId="0" applyFont="1" applyFill="1" applyBorder="1" applyAlignment="1" applyProtection="1">
      <alignment horizontal="center" vertical="center"/>
      <protection hidden="1"/>
    </xf>
    <xf numFmtId="0" fontId="8" fillId="0" borderId="0" xfId="0" applyFont="1"/>
    <xf numFmtId="0" fontId="8" fillId="0" borderId="0" xfId="0" applyFont="1" applyAlignment="1">
      <alignment horizontal="left"/>
    </xf>
    <xf numFmtId="10" fontId="8" fillId="0" borderId="0" xfId="0" applyNumberFormat="1" applyFont="1" applyAlignment="1">
      <alignment horizontal="left"/>
    </xf>
    <xf numFmtId="10" fontId="8" fillId="0" borderId="0" xfId="0" applyNumberFormat="1" applyFont="1"/>
    <xf numFmtId="2" fontId="8" fillId="0" borderId="0" xfId="0" applyNumberFormat="1" applyFont="1"/>
    <xf numFmtId="9" fontId="8" fillId="0" borderId="0" xfId="0" applyNumberFormat="1" applyFont="1"/>
    <xf numFmtId="0" fontId="8" fillId="0" borderId="0" xfId="0" applyFont="1" applyBorder="1" applyAlignment="1">
      <alignment wrapText="1"/>
    </xf>
    <xf numFmtId="4" fontId="8" fillId="0" borderId="0" xfId="0" applyNumberFormat="1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8" fontId="8" fillId="0" borderId="0" xfId="0" applyNumberFormat="1" applyFont="1" applyProtection="1">
      <protection hidden="1"/>
    </xf>
    <xf numFmtId="2" fontId="8" fillId="0" borderId="0" xfId="0" applyNumberFormat="1" applyFont="1" applyProtection="1">
      <protection hidden="1"/>
    </xf>
    <xf numFmtId="4" fontId="8" fillId="0" borderId="0" xfId="0" applyNumberFormat="1" applyFont="1" applyProtection="1">
      <protection hidden="1"/>
    </xf>
    <xf numFmtId="0" fontId="8" fillId="0" borderId="0" xfId="0" applyFont="1" applyAlignment="1">
      <alignment wrapText="1"/>
    </xf>
    <xf numFmtId="0" fontId="2" fillId="3" borderId="13" xfId="0" applyNumberFormat="1" applyFont="1" applyFill="1" applyBorder="1" applyAlignment="1">
      <alignment horizontal="center" vertical="center"/>
    </xf>
    <xf numFmtId="164" fontId="1" fillId="3" borderId="12" xfId="0" applyNumberFormat="1" applyFont="1" applyFill="1" applyBorder="1" applyAlignment="1" applyProtection="1">
      <alignment horizontal="center" vertical="center"/>
      <protection locked="0" hidden="1"/>
    </xf>
    <xf numFmtId="10" fontId="1" fillId="3" borderId="0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10" fontId="1" fillId="0" borderId="0" xfId="0" applyNumberFormat="1" applyFont="1"/>
    <xf numFmtId="10" fontId="1" fillId="0" borderId="0" xfId="0" applyNumberFormat="1" applyFont="1" applyAlignment="1" applyProtection="1">
      <alignment horizontal="center"/>
      <protection hidden="1"/>
    </xf>
    <xf numFmtId="166" fontId="1" fillId="0" borderId="0" xfId="0" applyNumberFormat="1" applyFont="1"/>
    <xf numFmtId="164" fontId="1" fillId="0" borderId="13" xfId="0" quotePrefix="1" applyNumberFormat="1" applyFont="1" applyBorder="1" applyAlignment="1" applyProtection="1">
      <alignment horizontal="center" vertical="center"/>
      <protection hidden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1" fillId="3" borderId="10" xfId="0" applyNumberFormat="1" applyFont="1" applyFill="1" applyBorder="1" applyAlignment="1" applyProtection="1">
      <alignment horizontal="center" vertical="center"/>
      <protection locked="0" hidden="1"/>
    </xf>
    <xf numFmtId="164" fontId="1" fillId="3" borderId="11" xfId="0" applyNumberFormat="1" applyFont="1" applyFill="1" applyBorder="1" applyAlignment="1" applyProtection="1">
      <alignment horizontal="center" vertical="center"/>
      <protection locked="0" hidden="1"/>
    </xf>
    <xf numFmtId="0" fontId="6" fillId="0" borderId="16" xfId="0" applyFont="1" applyBorder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4" fillId="0" borderId="15" xfId="0" applyFont="1" applyBorder="1" applyAlignment="1">
      <alignment horizontal="left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2" fontId="5" fillId="0" borderId="5" xfId="0" applyNumberFormat="1" applyFont="1" applyBorder="1" applyAlignment="1">
      <alignment horizontal="left"/>
    </xf>
    <xf numFmtId="2" fontId="5" fillId="0" borderId="0" xfId="0" applyNumberFormat="1" applyFont="1" applyBorder="1" applyAlignment="1">
      <alignment horizontal="left"/>
    </xf>
    <xf numFmtId="0" fontId="5" fillId="0" borderId="5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3" borderId="13" xfId="0" applyNumberFormat="1" applyFont="1" applyFill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wrapText="1"/>
      <protection hidden="1"/>
    </xf>
    <xf numFmtId="4" fontId="8" fillId="0" borderId="1" xfId="0" applyNumberFormat="1" applyFont="1" applyBorder="1" applyAlignment="1" applyProtection="1">
      <alignment horizontal="center"/>
      <protection hidden="1"/>
    </xf>
    <xf numFmtId="0" fontId="9" fillId="0" borderId="3" xfId="0" applyFont="1" applyBorder="1" applyAlignment="1">
      <alignment horizontal="center"/>
    </xf>
    <xf numFmtId="10" fontId="8" fillId="0" borderId="0" xfId="0" applyNumberFormat="1" applyFont="1" applyFill="1" applyBorder="1" applyAlignment="1" applyProtection="1">
      <alignment horizontal="center" vertical="center"/>
      <protection hidden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tabSelected="1" zoomScale="85" zoomScaleNormal="85" workbookViewId="0">
      <selection activeCell="F4" sqref="F4"/>
    </sheetView>
  </sheetViews>
  <sheetFormatPr defaultColWidth="8.88671875" defaultRowHeight="14.4" x14ac:dyDescent="0.3"/>
  <cols>
    <col min="1" max="1" width="6.33203125" style="3" customWidth="1"/>
    <col min="2" max="2" width="12.88671875" style="3" customWidth="1"/>
    <col min="3" max="3" width="12.6640625" style="3" customWidth="1"/>
    <col min="4" max="4" width="15.33203125" style="3" customWidth="1"/>
    <col min="5" max="5" width="14.33203125" style="3" customWidth="1"/>
    <col min="6" max="6" width="16.5546875" style="3" customWidth="1"/>
    <col min="7" max="7" width="13" style="3" customWidth="1"/>
    <col min="8" max="8" width="13.88671875" style="3" customWidth="1"/>
    <col min="9" max="9" width="15" style="23" hidden="1" customWidth="1"/>
    <col min="10" max="10" width="18" style="3" customWidth="1"/>
    <col min="11" max="11" width="8.88671875" style="3"/>
    <col min="12" max="12" width="10.33203125" style="23" bestFit="1" customWidth="1"/>
    <col min="13" max="13" width="8.88671875" style="23"/>
    <col min="14" max="14" width="11.6640625" style="23" customWidth="1"/>
    <col min="15" max="15" width="11.5546875" style="23" customWidth="1"/>
    <col min="16" max="16" width="14.77734375" style="23" customWidth="1"/>
    <col min="17" max="17" width="10.33203125" style="23" bestFit="1" customWidth="1"/>
    <col min="18" max="18" width="12.33203125" style="23" customWidth="1"/>
    <col min="19" max="19" width="10.88671875" style="23" bestFit="1" customWidth="1"/>
    <col min="20" max="20" width="8.88671875" style="23"/>
    <col min="21" max="21" width="8.88671875" style="3"/>
    <col min="22" max="22" width="10.77734375" style="3" bestFit="1" customWidth="1"/>
    <col min="23" max="23" width="8.88671875" style="3"/>
    <col min="24" max="24" width="11.33203125" style="3" customWidth="1"/>
    <col min="25" max="16384" width="8.88671875" style="3"/>
  </cols>
  <sheetData>
    <row r="1" spans="1:12" ht="82.2" customHeight="1" x14ac:dyDescent="0.3">
      <c r="A1" s="46" t="s">
        <v>39</v>
      </c>
      <c r="B1" s="47"/>
      <c r="C1" s="47"/>
      <c r="D1" s="47"/>
      <c r="E1" s="47"/>
      <c r="F1" s="47"/>
    </row>
    <row r="2" spans="1:12" ht="31.95" customHeight="1" x14ac:dyDescent="0.3">
      <c r="A2" s="56" t="s">
        <v>29</v>
      </c>
      <c r="B2" s="57"/>
      <c r="C2" s="57"/>
      <c r="D2" s="57"/>
      <c r="E2" s="57"/>
      <c r="F2" s="57"/>
    </row>
    <row r="3" spans="1:12" ht="15" customHeight="1" x14ac:dyDescent="0.3">
      <c r="A3" s="56" t="s">
        <v>28</v>
      </c>
      <c r="B3" s="56"/>
      <c r="C3" s="56"/>
      <c r="D3" s="56"/>
      <c r="E3" s="56"/>
      <c r="F3" s="56"/>
      <c r="L3" s="23" t="s">
        <v>41</v>
      </c>
    </row>
    <row r="4" spans="1:12" ht="16.2" thickBot="1" x14ac:dyDescent="0.35">
      <c r="A4" s="51" t="s">
        <v>36</v>
      </c>
      <c r="B4" s="52"/>
      <c r="C4" s="52"/>
      <c r="D4" s="52"/>
      <c r="E4" s="55"/>
      <c r="F4" s="36">
        <v>1</v>
      </c>
      <c r="G4" s="6"/>
      <c r="L4" s="23">
        <v>476190.48</v>
      </c>
    </row>
    <row r="5" spans="1:12" ht="18.600000000000001" customHeight="1" x14ac:dyDescent="0.3">
      <c r="A5" s="58" t="s">
        <v>1</v>
      </c>
      <c r="B5" s="59"/>
      <c r="C5" s="59"/>
      <c r="D5" s="59"/>
      <c r="E5" s="53">
        <v>100000</v>
      </c>
      <c r="F5" s="54"/>
      <c r="G5" s="75" t="s">
        <v>37</v>
      </c>
      <c r="H5" s="76"/>
      <c r="I5" s="76"/>
      <c r="J5" s="76"/>
      <c r="L5" s="28">
        <v>0.05</v>
      </c>
    </row>
    <row r="6" spans="1:12" ht="21" customHeight="1" x14ac:dyDescent="0.3">
      <c r="A6" s="63" t="s">
        <v>0</v>
      </c>
      <c r="B6" s="49"/>
      <c r="C6" s="49"/>
      <c r="D6" s="38">
        <v>0.1</v>
      </c>
      <c r="E6" s="43">
        <f>F6/E5</f>
        <v>0.1</v>
      </c>
      <c r="F6" s="37">
        <f>E5*D6</f>
        <v>10000</v>
      </c>
      <c r="G6" s="75"/>
      <c r="H6" s="76"/>
      <c r="I6" s="76"/>
      <c r="J6" s="76"/>
      <c r="L6" s="23">
        <f>L4*L5</f>
        <v>23809.524000000001</v>
      </c>
    </row>
    <row r="7" spans="1:12" ht="15.6" x14ac:dyDescent="0.3">
      <c r="A7" s="48" t="s">
        <v>3</v>
      </c>
      <c r="B7" s="49"/>
      <c r="C7" s="49"/>
      <c r="D7" s="49"/>
      <c r="E7" s="49"/>
      <c r="F7" s="45">
        <f>IF((E5-F6)&lt;=L9,(E5-F6),L9)</f>
        <v>90000</v>
      </c>
      <c r="G7" s="6"/>
      <c r="L7" s="23">
        <f>L4+L6</f>
        <v>500000.00399999996</v>
      </c>
    </row>
    <row r="8" spans="1:12" ht="15.6" x14ac:dyDescent="0.3">
      <c r="A8" s="51" t="s">
        <v>23</v>
      </c>
      <c r="B8" s="52"/>
      <c r="C8" s="52"/>
      <c r="D8" s="52"/>
      <c r="E8" s="52"/>
      <c r="F8" s="77">
        <v>36</v>
      </c>
      <c r="G8" s="6"/>
    </row>
    <row r="9" spans="1:12" ht="15.6" x14ac:dyDescent="0.3">
      <c r="A9" s="51" t="s">
        <v>2</v>
      </c>
      <c r="B9" s="52"/>
      <c r="C9" s="52"/>
      <c r="D9" s="52"/>
      <c r="E9" s="52"/>
      <c r="F9" s="22">
        <f>IF(F4=1,3,6)</f>
        <v>3</v>
      </c>
      <c r="L9" s="23">
        <f>IF(F4&lt;=2,L4,500000)</f>
        <v>476190.48</v>
      </c>
    </row>
    <row r="10" spans="1:12" ht="15.6" x14ac:dyDescent="0.3">
      <c r="A10" s="48" t="s">
        <v>8</v>
      </c>
      <c r="B10" s="49"/>
      <c r="C10" s="49"/>
      <c r="D10" s="49"/>
      <c r="E10" s="7">
        <f>IF(F4&lt;=2,0.05,0)</f>
        <v>0.05</v>
      </c>
      <c r="F10" s="5">
        <f>F7*E10</f>
        <v>4500</v>
      </c>
      <c r="G10" s="4"/>
    </row>
    <row r="11" spans="1:12" ht="15.6" hidden="1" customHeight="1" x14ac:dyDescent="0.3">
      <c r="A11" s="48" t="s">
        <v>7</v>
      </c>
      <c r="B11" s="49"/>
      <c r="C11" s="49"/>
      <c r="D11" s="49"/>
      <c r="E11" s="50"/>
      <c r="F11" s="5">
        <v>0</v>
      </c>
    </row>
    <row r="12" spans="1:12" ht="15.6" x14ac:dyDescent="0.3">
      <c r="A12" s="51" t="s">
        <v>30</v>
      </c>
      <c r="B12" s="52"/>
      <c r="C12" s="52"/>
      <c r="D12" s="52"/>
      <c r="E12" s="55"/>
      <c r="F12" s="1">
        <f>IF((F7+F10)&gt;=500000.01,500000,(F7+F10))</f>
        <v>94500</v>
      </c>
      <c r="G12" s="73" t="s">
        <v>40</v>
      </c>
      <c r="H12" s="74"/>
      <c r="I12" s="74"/>
      <c r="J12" s="74"/>
    </row>
    <row r="13" spans="1:12" ht="15.6" x14ac:dyDescent="0.3">
      <c r="A13" s="48" t="s">
        <v>4</v>
      </c>
      <c r="B13" s="49"/>
      <c r="C13" s="49"/>
      <c r="D13" s="49"/>
      <c r="E13" s="7">
        <v>0</v>
      </c>
      <c r="F13" s="5">
        <v>0</v>
      </c>
      <c r="G13" s="8"/>
    </row>
    <row r="14" spans="1:12" ht="15.6" x14ac:dyDescent="0.3">
      <c r="A14" s="51" t="s">
        <v>6</v>
      </c>
      <c r="B14" s="52"/>
      <c r="C14" s="52"/>
      <c r="D14" s="52"/>
      <c r="E14" s="17">
        <f>SUMIFS(X36:X38,V36:V38,F4,W36:W38,F9)</f>
        <v>2.9899999999999999E-2</v>
      </c>
      <c r="F14" s="9">
        <f>(F7+F10+F11)*E14</f>
        <v>2825.5499999999997</v>
      </c>
    </row>
    <row r="15" spans="1:12" ht="16.2" thickBot="1" x14ac:dyDescent="0.35">
      <c r="A15" s="67" t="s">
        <v>25</v>
      </c>
      <c r="B15" s="68"/>
      <c r="C15" s="68"/>
      <c r="D15" s="68"/>
      <c r="E15" s="68"/>
      <c r="F15" s="10">
        <f>IF(F4&lt;=2,0.000001,0.0001)</f>
        <v>9.9999999999999995E-7</v>
      </c>
    </row>
    <row r="16" spans="1:12" s="23" customFormat="1" ht="15.6" x14ac:dyDescent="0.3">
      <c r="A16" s="81" t="s">
        <v>33</v>
      </c>
      <c r="B16" s="81"/>
      <c r="C16" s="81"/>
      <c r="D16" s="81"/>
      <c r="E16" s="81"/>
      <c r="F16" s="82">
        <f>SUMIFS(T26:T43,R26:R43,F8,S26:S43,F4)</f>
        <v>5.52121E-2</v>
      </c>
    </row>
    <row r="17" spans="1:30" ht="18" x14ac:dyDescent="0.3">
      <c r="A17" s="47" t="s">
        <v>27</v>
      </c>
      <c r="B17" s="47"/>
      <c r="C17" s="47"/>
      <c r="D17" s="47"/>
      <c r="E17" s="47"/>
      <c r="F17" s="47"/>
    </row>
    <row r="18" spans="1:30" ht="48.6" customHeight="1" thickBot="1" x14ac:dyDescent="0.35">
      <c r="A18" s="60" t="s">
        <v>9</v>
      </c>
      <c r="B18" s="60"/>
      <c r="C18" s="60"/>
      <c r="D18" s="60"/>
      <c r="E18" s="60"/>
      <c r="F18" s="60"/>
    </row>
    <row r="19" spans="1:30" x14ac:dyDescent="0.3">
      <c r="A19" s="61" t="s">
        <v>10</v>
      </c>
      <c r="B19" s="62"/>
      <c r="C19" s="62"/>
      <c r="D19" s="62"/>
      <c r="E19" s="62"/>
      <c r="F19" s="11">
        <f>D26</f>
        <v>5217.54</v>
      </c>
    </row>
    <row r="20" spans="1:30" x14ac:dyDescent="0.3">
      <c r="A20" s="69" t="s">
        <v>11</v>
      </c>
      <c r="B20" s="70"/>
      <c r="C20" s="70"/>
      <c r="D20" s="70"/>
      <c r="E20" s="70"/>
      <c r="F20" s="12">
        <f>F86+G86+H86+I86</f>
        <v>97743.260000000053</v>
      </c>
      <c r="N20" s="28"/>
      <c r="R20" s="27"/>
    </row>
    <row r="21" spans="1:30" x14ac:dyDescent="0.3">
      <c r="A21" s="69" t="s">
        <v>12</v>
      </c>
      <c r="B21" s="70"/>
      <c r="C21" s="70"/>
      <c r="D21" s="70"/>
      <c r="E21" s="70"/>
      <c r="F21" s="12">
        <f>F20+C25</f>
        <v>192243.26000000007</v>
      </c>
      <c r="R21" s="27"/>
    </row>
    <row r="22" spans="1:30" ht="15" thickBot="1" x14ac:dyDescent="0.35">
      <c r="A22" s="71" t="s">
        <v>13</v>
      </c>
      <c r="B22" s="72"/>
      <c r="C22" s="72"/>
      <c r="D22" s="72"/>
      <c r="E22" s="72"/>
      <c r="F22" s="21">
        <f>XIRR(J25:J85,B25:B85)</f>
        <v>0.73187249898910522</v>
      </c>
    </row>
    <row r="23" spans="1:30" x14ac:dyDescent="0.3">
      <c r="A23" s="66"/>
      <c r="B23" s="66"/>
      <c r="C23" s="66"/>
      <c r="D23" s="66"/>
      <c r="E23" s="66"/>
      <c r="F23" s="66"/>
      <c r="G23" s="66"/>
      <c r="H23" s="66"/>
      <c r="I23" s="66"/>
    </row>
    <row r="24" spans="1:30" ht="57" customHeight="1" x14ac:dyDescent="0.3">
      <c r="A24" s="13" t="s">
        <v>15</v>
      </c>
      <c r="B24" s="13" t="s">
        <v>14</v>
      </c>
      <c r="C24" s="13" t="s">
        <v>22</v>
      </c>
      <c r="D24" s="13" t="s">
        <v>16</v>
      </c>
      <c r="E24" s="13" t="s">
        <v>17</v>
      </c>
      <c r="F24" s="13" t="s">
        <v>18</v>
      </c>
      <c r="G24" s="13" t="s">
        <v>19</v>
      </c>
      <c r="H24" s="13" t="s">
        <v>20</v>
      </c>
      <c r="I24" s="78" t="s">
        <v>21</v>
      </c>
      <c r="J24" s="29" t="s">
        <v>26</v>
      </c>
      <c r="V24" s="39"/>
      <c r="W24" s="3" t="s">
        <v>35</v>
      </c>
      <c r="X24" s="3" t="s">
        <v>34</v>
      </c>
    </row>
    <row r="25" spans="1:30" x14ac:dyDescent="0.3">
      <c r="A25" s="14">
        <v>0</v>
      </c>
      <c r="B25" s="15">
        <v>44927</v>
      </c>
      <c r="C25" s="18">
        <f>F12</f>
        <v>94500</v>
      </c>
      <c r="D25" s="18">
        <f>-C25</f>
        <v>-94500</v>
      </c>
      <c r="E25" s="18">
        <f>D25</f>
        <v>-94500</v>
      </c>
      <c r="F25" s="18"/>
      <c r="G25" s="18"/>
      <c r="H25" s="18">
        <f>F10</f>
        <v>4500</v>
      </c>
      <c r="I25" s="79" t="s">
        <v>5</v>
      </c>
      <c r="J25" s="30">
        <f>SUM(E25:I25)</f>
        <v>-90000</v>
      </c>
      <c r="K25" s="2"/>
      <c r="L25" s="31"/>
      <c r="M25" s="31"/>
      <c r="N25" s="31"/>
      <c r="O25" s="31"/>
      <c r="V25" s="39">
        <v>3000</v>
      </c>
      <c r="W25" s="40">
        <f>V25/(1+(5/100))</f>
        <v>2857.1428571428569</v>
      </c>
      <c r="X25" s="40">
        <v>3000</v>
      </c>
      <c r="Y25" s="40"/>
      <c r="Z25" s="40"/>
      <c r="AA25" s="3">
        <v>3000</v>
      </c>
      <c r="AB25" s="3">
        <v>1</v>
      </c>
      <c r="AC25" s="3">
        <v>3</v>
      </c>
      <c r="AD25" s="3">
        <v>3174.6</v>
      </c>
    </row>
    <row r="26" spans="1:30" x14ac:dyDescent="0.3">
      <c r="A26" s="16">
        <v>1</v>
      </c>
      <c r="B26" s="15">
        <v>44958</v>
      </c>
      <c r="C26" s="19">
        <f t="shared" ref="C26:C57" si="0">C25-E26</f>
        <v>89282.47</v>
      </c>
      <c r="D26" s="19">
        <f t="shared" ref="D26:D57" si="1">E26+F26+G26</f>
        <v>5217.54</v>
      </c>
      <c r="E26" s="20">
        <f t="shared" ref="E26:E57" si="2">IF(A26=$F$8,C25,MIN(C25,ROUND($C$25*$F$16,2)-F26-G26))</f>
        <v>5217.53</v>
      </c>
      <c r="F26" s="19">
        <f t="shared" ref="F26:F57" si="3">ROUND(C25*$F$15/12,2)</f>
        <v>0.01</v>
      </c>
      <c r="G26" s="19">
        <f t="shared" ref="G26:G57" si="4">IF(AND($F$8&gt;=A26,$F$9&lt;A26),$F$14,$F$13)</f>
        <v>0</v>
      </c>
      <c r="H26" s="19" t="s">
        <v>5</v>
      </c>
      <c r="I26" s="80" t="s">
        <v>5</v>
      </c>
      <c r="J26" s="30">
        <f t="shared" ref="J26:J57" si="5">SUM(E26:I26)</f>
        <v>5217.54</v>
      </c>
      <c r="K26" s="2"/>
      <c r="L26" s="32"/>
      <c r="M26" s="31"/>
      <c r="N26" s="31"/>
      <c r="O26" s="31"/>
      <c r="Q26" s="64">
        <v>1</v>
      </c>
      <c r="R26" s="24" t="s">
        <v>23</v>
      </c>
      <c r="S26" s="24" t="s">
        <v>38</v>
      </c>
      <c r="T26" s="24" t="s">
        <v>33</v>
      </c>
      <c r="U26" s="40"/>
      <c r="V26" s="41"/>
      <c r="W26" s="40">
        <f>W25*100/90</f>
        <v>3174.603174603174</v>
      </c>
      <c r="X26" s="40">
        <f>X25*100/90</f>
        <v>3333.3333333333335</v>
      </c>
      <c r="Y26" s="40"/>
      <c r="Z26" s="40"/>
      <c r="AA26" s="3">
        <v>3000</v>
      </c>
      <c r="AB26" s="3">
        <v>2</v>
      </c>
      <c r="AC26" s="3">
        <v>6</v>
      </c>
      <c r="AD26" s="3">
        <v>3174.6</v>
      </c>
    </row>
    <row r="27" spans="1:30" x14ac:dyDescent="0.3">
      <c r="A27" s="16">
        <v>2</v>
      </c>
      <c r="B27" s="15">
        <v>44986</v>
      </c>
      <c r="C27" s="19">
        <f t="shared" si="0"/>
        <v>84064.94</v>
      </c>
      <c r="D27" s="19">
        <f t="shared" si="1"/>
        <v>5217.54</v>
      </c>
      <c r="E27" s="19">
        <f t="shared" si="2"/>
        <v>5217.53</v>
      </c>
      <c r="F27" s="19">
        <f t="shared" si="3"/>
        <v>0.01</v>
      </c>
      <c r="G27" s="19">
        <f t="shared" si="4"/>
        <v>0</v>
      </c>
      <c r="H27" s="19" t="s">
        <v>5</v>
      </c>
      <c r="I27" s="80" t="s">
        <v>5</v>
      </c>
      <c r="J27" s="30">
        <f t="shared" si="5"/>
        <v>5217.54</v>
      </c>
      <c r="K27" s="2"/>
      <c r="L27" s="31"/>
      <c r="M27" s="31"/>
      <c r="N27" s="31"/>
      <c r="O27" s="31"/>
      <c r="Q27" s="64"/>
      <c r="R27" s="24"/>
      <c r="S27" s="24"/>
      <c r="T27" s="24"/>
      <c r="U27" s="40"/>
      <c r="V27" s="41"/>
      <c r="W27" s="40"/>
      <c r="X27" s="40"/>
      <c r="Y27" s="40"/>
      <c r="Z27" s="40"/>
    </row>
    <row r="28" spans="1:30" x14ac:dyDescent="0.3">
      <c r="A28" s="16">
        <v>3</v>
      </c>
      <c r="B28" s="15">
        <v>45017</v>
      </c>
      <c r="C28" s="19">
        <f t="shared" si="0"/>
        <v>78847.41</v>
      </c>
      <c r="D28" s="19">
        <f t="shared" si="1"/>
        <v>5217.54</v>
      </c>
      <c r="E28" s="19">
        <f t="shared" si="2"/>
        <v>5217.53</v>
      </c>
      <c r="F28" s="19">
        <f t="shared" si="3"/>
        <v>0.01</v>
      </c>
      <c r="G28" s="19">
        <f t="shared" si="4"/>
        <v>0</v>
      </c>
      <c r="H28" s="19" t="s">
        <v>5</v>
      </c>
      <c r="I28" s="80" t="s">
        <v>5</v>
      </c>
      <c r="J28" s="30">
        <f t="shared" si="5"/>
        <v>5217.54</v>
      </c>
      <c r="K28" s="2"/>
      <c r="L28" s="31"/>
      <c r="M28" s="31"/>
      <c r="N28" s="31"/>
      <c r="O28" s="33"/>
      <c r="Q28" s="64"/>
      <c r="R28" s="24">
        <v>12</v>
      </c>
      <c r="S28" s="24">
        <v>1</v>
      </c>
      <c r="T28" s="25">
        <v>0.105791</v>
      </c>
      <c r="V28" s="42"/>
      <c r="W28" s="40"/>
      <c r="X28" s="40"/>
      <c r="Y28" s="40"/>
      <c r="Z28" s="40"/>
      <c r="AA28" s="3">
        <v>3000</v>
      </c>
      <c r="AB28" s="3">
        <v>3</v>
      </c>
      <c r="AC28" s="3">
        <v>6</v>
      </c>
      <c r="AD28" s="3">
        <v>3333.33</v>
      </c>
    </row>
    <row r="29" spans="1:30" x14ac:dyDescent="0.3">
      <c r="A29" s="16">
        <v>4</v>
      </c>
      <c r="B29" s="15">
        <v>45047</v>
      </c>
      <c r="C29" s="19">
        <f t="shared" si="0"/>
        <v>76455.430000000008</v>
      </c>
      <c r="D29" s="20">
        <f t="shared" si="1"/>
        <v>5217.54</v>
      </c>
      <c r="E29" s="19">
        <f t="shared" si="2"/>
        <v>2391.98</v>
      </c>
      <c r="F29" s="19">
        <f t="shared" si="3"/>
        <v>0.01</v>
      </c>
      <c r="G29" s="19">
        <f t="shared" si="4"/>
        <v>2825.5499999999997</v>
      </c>
      <c r="H29" s="19" t="s">
        <v>5</v>
      </c>
      <c r="I29" s="80" t="s">
        <v>5</v>
      </c>
      <c r="J29" s="30">
        <f t="shared" si="5"/>
        <v>5217.54</v>
      </c>
      <c r="K29" s="2"/>
      <c r="L29" s="31"/>
      <c r="M29" s="31"/>
      <c r="N29" s="31"/>
      <c r="O29" s="31"/>
      <c r="Q29" s="64"/>
      <c r="R29" s="24">
        <v>24</v>
      </c>
      <c r="S29" s="24">
        <v>1</v>
      </c>
      <c r="T29" s="25">
        <v>6.7829899999999999E-2</v>
      </c>
      <c r="V29" s="40">
        <v>500000</v>
      </c>
      <c r="W29" s="40">
        <f>V29/(1+5/100)</f>
        <v>476190.47619047615</v>
      </c>
      <c r="X29" s="40">
        <v>500000</v>
      </c>
      <c r="Y29" s="40"/>
      <c r="Z29" s="40"/>
      <c r="AA29" s="3">
        <v>500000</v>
      </c>
      <c r="AB29" s="3">
        <v>1</v>
      </c>
      <c r="AC29" s="3">
        <v>3</v>
      </c>
      <c r="AD29" s="3">
        <v>317460.32</v>
      </c>
    </row>
    <row r="30" spans="1:30" x14ac:dyDescent="0.3">
      <c r="A30" s="16">
        <v>5</v>
      </c>
      <c r="B30" s="15">
        <v>45078</v>
      </c>
      <c r="C30" s="19">
        <f t="shared" si="0"/>
        <v>74063.450000000012</v>
      </c>
      <c r="D30" s="19">
        <f t="shared" si="1"/>
        <v>5217.54</v>
      </c>
      <c r="E30" s="19">
        <f t="shared" si="2"/>
        <v>2391.98</v>
      </c>
      <c r="F30" s="19">
        <f t="shared" si="3"/>
        <v>0.01</v>
      </c>
      <c r="G30" s="19">
        <f t="shared" si="4"/>
        <v>2825.5499999999997</v>
      </c>
      <c r="H30" s="19" t="s">
        <v>5</v>
      </c>
      <c r="I30" s="80" t="s">
        <v>5</v>
      </c>
      <c r="J30" s="30">
        <f t="shared" si="5"/>
        <v>5217.54</v>
      </c>
      <c r="K30" s="2"/>
      <c r="L30" s="31"/>
      <c r="M30" s="31"/>
      <c r="N30" s="31"/>
      <c r="O30" s="31"/>
      <c r="Q30" s="64"/>
      <c r="R30" s="24">
        <v>36</v>
      </c>
      <c r="S30" s="24">
        <v>1</v>
      </c>
      <c r="T30" s="25">
        <v>5.52121E-2</v>
      </c>
      <c r="V30" s="40"/>
      <c r="W30" s="40">
        <f>W29*100/90</f>
        <v>529100.52910052903</v>
      </c>
      <c r="X30" s="40">
        <v>333334</v>
      </c>
      <c r="Y30" s="40"/>
      <c r="Z30" s="40"/>
      <c r="AA30" s="3">
        <v>500000</v>
      </c>
      <c r="AB30" s="3">
        <v>2</v>
      </c>
      <c r="AC30" s="3">
        <v>6</v>
      </c>
      <c r="AD30" s="3">
        <v>317460.32</v>
      </c>
    </row>
    <row r="31" spans="1:30" x14ac:dyDescent="0.3">
      <c r="A31" s="16">
        <v>6</v>
      </c>
      <c r="B31" s="15">
        <v>45108</v>
      </c>
      <c r="C31" s="19">
        <f t="shared" si="0"/>
        <v>71671.470000000016</v>
      </c>
      <c r="D31" s="19">
        <f t="shared" si="1"/>
        <v>5217.54</v>
      </c>
      <c r="E31" s="19">
        <f t="shared" si="2"/>
        <v>2391.98</v>
      </c>
      <c r="F31" s="19">
        <f t="shared" si="3"/>
        <v>0.01</v>
      </c>
      <c r="G31" s="19">
        <f t="shared" si="4"/>
        <v>2825.5499999999997</v>
      </c>
      <c r="H31" s="19" t="s">
        <v>5</v>
      </c>
      <c r="I31" s="80" t="s">
        <v>5</v>
      </c>
      <c r="J31" s="30">
        <f t="shared" si="5"/>
        <v>5217.54</v>
      </c>
      <c r="K31" s="2"/>
      <c r="L31" s="31"/>
      <c r="M31" s="31"/>
      <c r="N31" s="31"/>
      <c r="O31" s="31"/>
      <c r="Q31" s="64"/>
      <c r="R31" s="24">
        <v>48</v>
      </c>
      <c r="S31" s="24">
        <v>1</v>
      </c>
      <c r="T31" s="25">
        <v>4.8868000000000002E-2</v>
      </c>
      <c r="V31" s="40"/>
      <c r="W31" s="40"/>
      <c r="X31" s="40"/>
      <c r="Y31" s="40"/>
      <c r="Z31" s="40"/>
      <c r="AA31" s="3">
        <v>500000</v>
      </c>
      <c r="AB31" s="3">
        <v>3</v>
      </c>
      <c r="AC31" s="3">
        <v>6</v>
      </c>
      <c r="AD31" s="3">
        <v>333334</v>
      </c>
    </row>
    <row r="32" spans="1:30" x14ac:dyDescent="0.3">
      <c r="A32" s="16">
        <v>7</v>
      </c>
      <c r="B32" s="15">
        <v>45139</v>
      </c>
      <c r="C32" s="19">
        <f t="shared" si="0"/>
        <v>69279.49000000002</v>
      </c>
      <c r="D32" s="19">
        <f t="shared" si="1"/>
        <v>5217.54</v>
      </c>
      <c r="E32" s="19">
        <f t="shared" si="2"/>
        <v>2391.98</v>
      </c>
      <c r="F32" s="19">
        <f t="shared" si="3"/>
        <v>0.01</v>
      </c>
      <c r="G32" s="19">
        <f t="shared" si="4"/>
        <v>2825.5499999999997</v>
      </c>
      <c r="H32" s="19" t="s">
        <v>5</v>
      </c>
      <c r="I32" s="80" t="s">
        <v>5</v>
      </c>
      <c r="J32" s="30">
        <f t="shared" si="5"/>
        <v>5217.54</v>
      </c>
      <c r="K32" s="2"/>
      <c r="L32" s="31"/>
      <c r="M32" s="31"/>
      <c r="N32" s="31"/>
      <c r="O32" s="31"/>
      <c r="Q32" s="64"/>
      <c r="R32" s="24">
        <v>60</v>
      </c>
      <c r="S32" s="24">
        <v>1</v>
      </c>
      <c r="T32" s="25">
        <v>4.5079000000000001E-2</v>
      </c>
      <c r="V32" s="40"/>
      <c r="W32" s="40"/>
      <c r="X32" s="40"/>
      <c r="Y32" s="40"/>
      <c r="Z32" s="40"/>
    </row>
    <row r="33" spans="1:28" x14ac:dyDescent="0.3">
      <c r="A33" s="16">
        <v>8</v>
      </c>
      <c r="B33" s="15">
        <v>45170</v>
      </c>
      <c r="C33" s="19">
        <f t="shared" si="0"/>
        <v>66887.510000000024</v>
      </c>
      <c r="D33" s="19">
        <f t="shared" si="1"/>
        <v>5217.54</v>
      </c>
      <c r="E33" s="19">
        <f t="shared" si="2"/>
        <v>2391.98</v>
      </c>
      <c r="F33" s="19">
        <f t="shared" si="3"/>
        <v>0.01</v>
      </c>
      <c r="G33" s="19">
        <f t="shared" si="4"/>
        <v>2825.5499999999997</v>
      </c>
      <c r="H33" s="19" t="s">
        <v>5</v>
      </c>
      <c r="I33" s="80" t="s">
        <v>5</v>
      </c>
      <c r="J33" s="30">
        <f t="shared" si="5"/>
        <v>5217.54</v>
      </c>
      <c r="K33" s="2"/>
      <c r="L33" s="31"/>
      <c r="M33" s="31"/>
      <c r="N33" s="31"/>
      <c r="O33" s="31"/>
      <c r="Q33" s="64">
        <v>2</v>
      </c>
      <c r="R33" s="24">
        <v>12</v>
      </c>
      <c r="S33" s="24">
        <v>2</v>
      </c>
      <c r="T33" s="25">
        <v>9.9500000000000005E-2</v>
      </c>
      <c r="V33" s="40"/>
      <c r="W33" s="40"/>
      <c r="X33" s="40"/>
      <c r="Y33" s="40"/>
      <c r="Z33" s="40"/>
    </row>
    <row r="34" spans="1:28" x14ac:dyDescent="0.3">
      <c r="A34" s="16">
        <v>9</v>
      </c>
      <c r="B34" s="15">
        <v>45200</v>
      </c>
      <c r="C34" s="19">
        <f t="shared" si="0"/>
        <v>64495.530000000021</v>
      </c>
      <c r="D34" s="19">
        <f t="shared" si="1"/>
        <v>5217.54</v>
      </c>
      <c r="E34" s="19">
        <f t="shared" si="2"/>
        <v>2391.98</v>
      </c>
      <c r="F34" s="19">
        <f t="shared" si="3"/>
        <v>0.01</v>
      </c>
      <c r="G34" s="19">
        <f t="shared" si="4"/>
        <v>2825.5499999999997</v>
      </c>
      <c r="H34" s="19" t="s">
        <v>5</v>
      </c>
      <c r="I34" s="80" t="s">
        <v>5</v>
      </c>
      <c r="J34" s="30">
        <f t="shared" si="5"/>
        <v>5217.54</v>
      </c>
      <c r="K34" s="2"/>
      <c r="L34" s="31"/>
      <c r="M34" s="31"/>
      <c r="N34" s="31"/>
      <c r="O34" s="31"/>
      <c r="Q34" s="64"/>
      <c r="R34" s="24">
        <v>24</v>
      </c>
      <c r="S34" s="24">
        <v>2</v>
      </c>
      <c r="T34" s="25">
        <v>6.5699999999999995E-2</v>
      </c>
      <c r="V34" s="40"/>
      <c r="W34" s="40"/>
      <c r="X34" s="40"/>
      <c r="Y34" s="40"/>
      <c r="Z34" s="40"/>
      <c r="AB34" s="6">
        <f>SUMIFS(AD29:AD31,AB29:AB31,F4,AC29:AC31,F9)</f>
        <v>317460.32</v>
      </c>
    </row>
    <row r="35" spans="1:28" x14ac:dyDescent="0.3">
      <c r="A35" s="16">
        <v>10</v>
      </c>
      <c r="B35" s="15">
        <v>45231</v>
      </c>
      <c r="C35" s="19">
        <f t="shared" si="0"/>
        <v>62103.550000000017</v>
      </c>
      <c r="D35" s="19">
        <f t="shared" si="1"/>
        <v>5217.54</v>
      </c>
      <c r="E35" s="19">
        <f t="shared" si="2"/>
        <v>2391.98</v>
      </c>
      <c r="F35" s="19">
        <f t="shared" si="3"/>
        <v>0.01</v>
      </c>
      <c r="G35" s="19">
        <f t="shared" si="4"/>
        <v>2825.5499999999997</v>
      </c>
      <c r="H35" s="19" t="s">
        <v>5</v>
      </c>
      <c r="I35" s="80" t="s">
        <v>5</v>
      </c>
      <c r="J35" s="30">
        <f t="shared" si="5"/>
        <v>5217.54</v>
      </c>
      <c r="K35" s="2"/>
      <c r="L35" s="31"/>
      <c r="M35" s="31"/>
      <c r="N35" s="31"/>
      <c r="O35" s="31"/>
      <c r="Q35" s="64"/>
      <c r="T35" s="25"/>
    </row>
    <row r="36" spans="1:28" x14ac:dyDescent="0.3">
      <c r="A36" s="16">
        <v>11</v>
      </c>
      <c r="B36" s="15">
        <v>45261</v>
      </c>
      <c r="C36" s="19">
        <f t="shared" si="0"/>
        <v>59711.570000000014</v>
      </c>
      <c r="D36" s="19">
        <f t="shared" si="1"/>
        <v>5217.54</v>
      </c>
      <c r="E36" s="19">
        <f t="shared" si="2"/>
        <v>2391.98</v>
      </c>
      <c r="F36" s="19">
        <f t="shared" si="3"/>
        <v>0.01</v>
      </c>
      <c r="G36" s="19">
        <f t="shared" si="4"/>
        <v>2825.5499999999997</v>
      </c>
      <c r="H36" s="19" t="s">
        <v>5</v>
      </c>
      <c r="I36" s="80" t="s">
        <v>5</v>
      </c>
      <c r="J36" s="30">
        <f t="shared" si="5"/>
        <v>5217.54</v>
      </c>
      <c r="K36" s="2"/>
      <c r="L36" s="31"/>
      <c r="M36" s="31"/>
      <c r="N36" s="31"/>
      <c r="O36" s="31"/>
      <c r="Q36" s="64"/>
      <c r="R36" s="24">
        <v>36</v>
      </c>
      <c r="S36" s="24">
        <v>2</v>
      </c>
      <c r="T36" s="25">
        <v>5.45E-2</v>
      </c>
      <c r="V36" s="3">
        <v>1</v>
      </c>
      <c r="W36" s="3">
        <v>3</v>
      </c>
      <c r="X36" s="44">
        <v>2.9899999999999999E-2</v>
      </c>
    </row>
    <row r="37" spans="1:28" x14ac:dyDescent="0.3">
      <c r="A37" s="16">
        <v>12</v>
      </c>
      <c r="B37" s="15">
        <v>45292</v>
      </c>
      <c r="C37" s="19">
        <f t="shared" si="0"/>
        <v>57319.580000000016</v>
      </c>
      <c r="D37" s="19">
        <f t="shared" si="1"/>
        <v>5217.54</v>
      </c>
      <c r="E37" s="19">
        <f t="shared" si="2"/>
        <v>2391.9900000000002</v>
      </c>
      <c r="F37" s="19">
        <f t="shared" si="3"/>
        <v>0</v>
      </c>
      <c r="G37" s="19">
        <f t="shared" si="4"/>
        <v>2825.5499999999997</v>
      </c>
      <c r="H37" s="19" t="s">
        <v>5</v>
      </c>
      <c r="I37" s="80" t="s">
        <v>5</v>
      </c>
      <c r="J37" s="30">
        <f t="shared" si="5"/>
        <v>5217.54</v>
      </c>
      <c r="K37" s="2"/>
      <c r="L37" s="31"/>
      <c r="M37" s="31"/>
      <c r="N37" s="31"/>
      <c r="O37" s="31"/>
      <c r="Q37" s="64"/>
      <c r="R37" s="24">
        <v>48</v>
      </c>
      <c r="S37" s="24">
        <v>2</v>
      </c>
      <c r="T37" s="25">
        <v>4.8899999999999999E-2</v>
      </c>
      <c r="V37" s="3">
        <v>2</v>
      </c>
      <c r="W37" s="3">
        <v>6</v>
      </c>
      <c r="X37" s="44">
        <v>3.2000000000000001E-2</v>
      </c>
    </row>
    <row r="38" spans="1:28" x14ac:dyDescent="0.3">
      <c r="A38" s="16">
        <v>13</v>
      </c>
      <c r="B38" s="15">
        <v>45323</v>
      </c>
      <c r="C38" s="19">
        <f t="shared" si="0"/>
        <v>54927.590000000018</v>
      </c>
      <c r="D38" s="19">
        <f t="shared" si="1"/>
        <v>5217.54</v>
      </c>
      <c r="E38" s="19">
        <f t="shared" si="2"/>
        <v>2391.9900000000002</v>
      </c>
      <c r="F38" s="19">
        <f t="shared" si="3"/>
        <v>0</v>
      </c>
      <c r="G38" s="19">
        <f t="shared" si="4"/>
        <v>2825.5499999999997</v>
      </c>
      <c r="H38" s="19" t="s">
        <v>5</v>
      </c>
      <c r="I38" s="80" t="s">
        <v>5</v>
      </c>
      <c r="J38" s="30">
        <f t="shared" si="5"/>
        <v>5217.54</v>
      </c>
      <c r="K38" s="2"/>
      <c r="L38" s="31"/>
      <c r="M38" s="31"/>
      <c r="N38" s="31"/>
      <c r="O38" s="31"/>
      <c r="Q38" s="64"/>
      <c r="R38" s="24">
        <v>60</v>
      </c>
      <c r="S38" s="24">
        <v>2</v>
      </c>
      <c r="T38" s="25">
        <v>4.5499999999999999E-2</v>
      </c>
      <c r="V38" s="3">
        <v>3</v>
      </c>
      <c r="W38" s="3">
        <v>6</v>
      </c>
      <c r="X38" s="44">
        <v>3.5000000000000003E-2</v>
      </c>
    </row>
    <row r="39" spans="1:28" x14ac:dyDescent="0.3">
      <c r="A39" s="16">
        <v>14</v>
      </c>
      <c r="B39" s="15">
        <v>45352</v>
      </c>
      <c r="C39" s="19">
        <f t="shared" si="0"/>
        <v>52535.60000000002</v>
      </c>
      <c r="D39" s="19">
        <f t="shared" si="1"/>
        <v>5217.54</v>
      </c>
      <c r="E39" s="19">
        <f t="shared" si="2"/>
        <v>2391.9900000000002</v>
      </c>
      <c r="F39" s="19">
        <f t="shared" si="3"/>
        <v>0</v>
      </c>
      <c r="G39" s="19">
        <f t="shared" si="4"/>
        <v>2825.5499999999997</v>
      </c>
      <c r="H39" s="19" t="s">
        <v>5</v>
      </c>
      <c r="I39" s="80" t="s">
        <v>5</v>
      </c>
      <c r="J39" s="30">
        <f t="shared" si="5"/>
        <v>5217.54</v>
      </c>
      <c r="K39" s="2"/>
      <c r="L39" s="31"/>
      <c r="M39" s="31"/>
      <c r="N39" s="31"/>
      <c r="O39" s="31"/>
      <c r="Q39" s="65">
        <v>3</v>
      </c>
      <c r="R39" s="24">
        <v>12</v>
      </c>
      <c r="S39" s="24">
        <v>3</v>
      </c>
      <c r="T39" s="25">
        <v>0.1009</v>
      </c>
    </row>
    <row r="40" spans="1:28" x14ac:dyDescent="0.3">
      <c r="A40" s="16">
        <v>15</v>
      </c>
      <c r="B40" s="15">
        <v>45383</v>
      </c>
      <c r="C40" s="19">
        <f t="shared" si="0"/>
        <v>50143.610000000022</v>
      </c>
      <c r="D40" s="19">
        <f t="shared" si="1"/>
        <v>5217.54</v>
      </c>
      <c r="E40" s="19">
        <f t="shared" si="2"/>
        <v>2391.9900000000002</v>
      </c>
      <c r="F40" s="19">
        <f t="shared" si="3"/>
        <v>0</v>
      </c>
      <c r="G40" s="19">
        <f t="shared" si="4"/>
        <v>2825.5499999999997</v>
      </c>
      <c r="H40" s="19" t="s">
        <v>5</v>
      </c>
      <c r="I40" s="80" t="s">
        <v>5</v>
      </c>
      <c r="J40" s="30">
        <f t="shared" si="5"/>
        <v>5217.54</v>
      </c>
      <c r="K40" s="2"/>
      <c r="L40" s="31"/>
      <c r="M40" s="31"/>
      <c r="N40" s="31"/>
      <c r="O40" s="31"/>
      <c r="Q40" s="65"/>
      <c r="R40" s="24">
        <v>24</v>
      </c>
      <c r="S40" s="24">
        <v>3</v>
      </c>
      <c r="T40" s="25">
        <v>6.8224999999999994E-2</v>
      </c>
      <c r="V40" s="42"/>
    </row>
    <row r="41" spans="1:28" x14ac:dyDescent="0.3">
      <c r="A41" s="16">
        <v>16</v>
      </c>
      <c r="B41" s="15">
        <v>45413</v>
      </c>
      <c r="C41" s="19">
        <f t="shared" si="0"/>
        <v>47751.620000000024</v>
      </c>
      <c r="D41" s="19">
        <f t="shared" si="1"/>
        <v>5217.54</v>
      </c>
      <c r="E41" s="19">
        <f t="shared" si="2"/>
        <v>2391.9900000000002</v>
      </c>
      <c r="F41" s="19">
        <f t="shared" si="3"/>
        <v>0</v>
      </c>
      <c r="G41" s="19">
        <f t="shared" si="4"/>
        <v>2825.5499999999997</v>
      </c>
      <c r="H41" s="19" t="s">
        <v>5</v>
      </c>
      <c r="I41" s="80" t="s">
        <v>5</v>
      </c>
      <c r="J41" s="30">
        <f t="shared" si="5"/>
        <v>5217.54</v>
      </c>
      <c r="K41" s="2"/>
      <c r="L41" s="31"/>
      <c r="M41" s="31"/>
      <c r="N41" s="31"/>
      <c r="O41" s="31"/>
      <c r="Q41" s="65"/>
      <c r="R41" s="24">
        <v>36</v>
      </c>
      <c r="S41" s="24">
        <v>3</v>
      </c>
      <c r="T41" s="25">
        <v>5.6950000000000001E-2</v>
      </c>
      <c r="Y41" s="6"/>
    </row>
    <row r="42" spans="1:28" x14ac:dyDescent="0.3">
      <c r="A42" s="16">
        <v>17</v>
      </c>
      <c r="B42" s="15">
        <v>45444</v>
      </c>
      <c r="C42" s="19">
        <f t="shared" si="0"/>
        <v>45359.630000000026</v>
      </c>
      <c r="D42" s="19">
        <f t="shared" si="1"/>
        <v>5217.54</v>
      </c>
      <c r="E42" s="19">
        <f t="shared" si="2"/>
        <v>2391.9900000000002</v>
      </c>
      <c r="F42" s="19">
        <f t="shared" si="3"/>
        <v>0</v>
      </c>
      <c r="G42" s="19">
        <f t="shared" si="4"/>
        <v>2825.5499999999997</v>
      </c>
      <c r="H42" s="19" t="s">
        <v>5</v>
      </c>
      <c r="I42" s="80" t="s">
        <v>5</v>
      </c>
      <c r="J42" s="30">
        <f t="shared" si="5"/>
        <v>5217.54</v>
      </c>
      <c r="K42" s="2"/>
      <c r="L42" s="31"/>
      <c r="M42" s="31"/>
      <c r="N42" s="31"/>
      <c r="O42" s="31"/>
      <c r="Q42" s="65"/>
      <c r="R42" s="24">
        <v>48</v>
      </c>
      <c r="S42" s="24">
        <v>3</v>
      </c>
      <c r="T42" s="25">
        <v>5.1479999999999998E-2</v>
      </c>
      <c r="X42" s="6"/>
    </row>
    <row r="43" spans="1:28" x14ac:dyDescent="0.3">
      <c r="A43" s="16">
        <v>18</v>
      </c>
      <c r="B43" s="15">
        <v>45474</v>
      </c>
      <c r="C43" s="19">
        <f t="shared" si="0"/>
        <v>42967.640000000029</v>
      </c>
      <c r="D43" s="19">
        <f t="shared" si="1"/>
        <v>5217.54</v>
      </c>
      <c r="E43" s="19">
        <f t="shared" si="2"/>
        <v>2391.9900000000002</v>
      </c>
      <c r="F43" s="19">
        <f t="shared" si="3"/>
        <v>0</v>
      </c>
      <c r="G43" s="19">
        <f t="shared" si="4"/>
        <v>2825.5499999999997</v>
      </c>
      <c r="H43" s="19" t="s">
        <v>5</v>
      </c>
      <c r="I43" s="80" t="s">
        <v>5</v>
      </c>
      <c r="J43" s="30">
        <f t="shared" si="5"/>
        <v>5217.54</v>
      </c>
      <c r="K43" s="2"/>
      <c r="L43" s="31"/>
      <c r="M43" s="31"/>
      <c r="N43" s="31"/>
      <c r="O43" s="31"/>
      <c r="Q43" s="65"/>
      <c r="R43" s="24">
        <v>60</v>
      </c>
      <c r="S43" s="24">
        <v>3</v>
      </c>
      <c r="T43" s="25">
        <v>4.8180000000000001E-2</v>
      </c>
    </row>
    <row r="44" spans="1:28" x14ac:dyDescent="0.3">
      <c r="A44" s="16">
        <v>19</v>
      </c>
      <c r="B44" s="15">
        <v>45505</v>
      </c>
      <c r="C44" s="19">
        <f t="shared" si="0"/>
        <v>40575.650000000031</v>
      </c>
      <c r="D44" s="19">
        <f t="shared" si="1"/>
        <v>5217.54</v>
      </c>
      <c r="E44" s="19">
        <f t="shared" si="2"/>
        <v>2391.9900000000002</v>
      </c>
      <c r="F44" s="19">
        <f t="shared" si="3"/>
        <v>0</v>
      </c>
      <c r="G44" s="19">
        <f t="shared" si="4"/>
        <v>2825.5499999999997</v>
      </c>
      <c r="H44" s="19" t="s">
        <v>5</v>
      </c>
      <c r="I44" s="80" t="s">
        <v>5</v>
      </c>
      <c r="J44" s="30">
        <f t="shared" si="5"/>
        <v>5217.54</v>
      </c>
      <c r="K44" s="2"/>
      <c r="L44" s="31"/>
      <c r="M44" s="31"/>
      <c r="N44" s="31"/>
      <c r="O44" s="31"/>
    </row>
    <row r="45" spans="1:28" x14ac:dyDescent="0.3">
      <c r="A45" s="16">
        <v>20</v>
      </c>
      <c r="B45" s="15">
        <v>45536</v>
      </c>
      <c r="C45" s="19">
        <f t="shared" si="0"/>
        <v>38183.660000000033</v>
      </c>
      <c r="D45" s="19">
        <f t="shared" si="1"/>
        <v>5217.54</v>
      </c>
      <c r="E45" s="19">
        <f t="shared" si="2"/>
        <v>2391.9900000000002</v>
      </c>
      <c r="F45" s="19">
        <f t="shared" si="3"/>
        <v>0</v>
      </c>
      <c r="G45" s="19">
        <f t="shared" si="4"/>
        <v>2825.5499999999997</v>
      </c>
      <c r="H45" s="19" t="s">
        <v>5</v>
      </c>
      <c r="I45" s="80" t="s">
        <v>5</v>
      </c>
      <c r="J45" s="30">
        <f t="shared" si="5"/>
        <v>5217.54</v>
      </c>
      <c r="K45" s="2"/>
      <c r="L45" s="31"/>
      <c r="M45" s="31"/>
      <c r="N45" s="31"/>
      <c r="O45" s="31"/>
    </row>
    <row r="46" spans="1:28" x14ac:dyDescent="0.3">
      <c r="A46" s="16">
        <v>21</v>
      </c>
      <c r="B46" s="15">
        <v>45566</v>
      </c>
      <c r="C46" s="19">
        <f t="shared" si="0"/>
        <v>35791.670000000035</v>
      </c>
      <c r="D46" s="19">
        <f t="shared" si="1"/>
        <v>5217.54</v>
      </c>
      <c r="E46" s="19">
        <f t="shared" si="2"/>
        <v>2391.9900000000002</v>
      </c>
      <c r="F46" s="19">
        <f t="shared" si="3"/>
        <v>0</v>
      </c>
      <c r="G46" s="19">
        <f t="shared" si="4"/>
        <v>2825.5499999999997</v>
      </c>
      <c r="H46" s="19" t="s">
        <v>5</v>
      </c>
      <c r="I46" s="80" t="s">
        <v>5</v>
      </c>
      <c r="J46" s="30">
        <f t="shared" si="5"/>
        <v>5217.54</v>
      </c>
      <c r="K46" s="2"/>
      <c r="L46" s="31"/>
      <c r="M46" s="31"/>
      <c r="N46" s="31"/>
      <c r="O46" s="31"/>
    </row>
    <row r="47" spans="1:28" x14ac:dyDescent="0.3">
      <c r="A47" s="16">
        <v>22</v>
      </c>
      <c r="B47" s="15">
        <v>45597</v>
      </c>
      <c r="C47" s="19">
        <f t="shared" si="0"/>
        <v>33399.680000000037</v>
      </c>
      <c r="D47" s="19">
        <f t="shared" si="1"/>
        <v>5217.54</v>
      </c>
      <c r="E47" s="19">
        <f t="shared" si="2"/>
        <v>2391.9900000000002</v>
      </c>
      <c r="F47" s="19">
        <f t="shared" si="3"/>
        <v>0</v>
      </c>
      <c r="G47" s="19">
        <f t="shared" si="4"/>
        <v>2825.5499999999997</v>
      </c>
      <c r="H47" s="19" t="s">
        <v>5</v>
      </c>
      <c r="I47" s="80" t="s">
        <v>5</v>
      </c>
      <c r="J47" s="30">
        <f t="shared" si="5"/>
        <v>5217.54</v>
      </c>
      <c r="K47" s="2"/>
      <c r="L47" s="31"/>
      <c r="M47" s="31"/>
      <c r="N47" s="31"/>
      <c r="O47" s="31"/>
    </row>
    <row r="48" spans="1:28" x14ac:dyDescent="0.3">
      <c r="A48" s="16">
        <v>23</v>
      </c>
      <c r="B48" s="15">
        <v>45627</v>
      </c>
      <c r="C48" s="19">
        <f t="shared" si="0"/>
        <v>31007.690000000035</v>
      </c>
      <c r="D48" s="19">
        <f t="shared" si="1"/>
        <v>5217.54</v>
      </c>
      <c r="E48" s="19">
        <f t="shared" si="2"/>
        <v>2391.9900000000002</v>
      </c>
      <c r="F48" s="19">
        <f t="shared" si="3"/>
        <v>0</v>
      </c>
      <c r="G48" s="19">
        <f t="shared" si="4"/>
        <v>2825.5499999999997</v>
      </c>
      <c r="H48" s="19" t="s">
        <v>5</v>
      </c>
      <c r="I48" s="80" t="s">
        <v>5</v>
      </c>
      <c r="J48" s="30">
        <f t="shared" si="5"/>
        <v>5217.54</v>
      </c>
      <c r="K48" s="2"/>
      <c r="L48" s="31"/>
      <c r="M48" s="31"/>
      <c r="N48" s="31"/>
      <c r="O48" s="31"/>
    </row>
    <row r="49" spans="1:15" x14ac:dyDescent="0.3">
      <c r="A49" s="16">
        <v>24</v>
      </c>
      <c r="B49" s="15">
        <v>45658</v>
      </c>
      <c r="C49" s="19">
        <f t="shared" si="0"/>
        <v>28615.700000000033</v>
      </c>
      <c r="D49" s="19">
        <f t="shared" si="1"/>
        <v>5217.54</v>
      </c>
      <c r="E49" s="19">
        <f t="shared" si="2"/>
        <v>2391.9900000000002</v>
      </c>
      <c r="F49" s="19">
        <f t="shared" si="3"/>
        <v>0</v>
      </c>
      <c r="G49" s="19">
        <f t="shared" si="4"/>
        <v>2825.5499999999997</v>
      </c>
      <c r="H49" s="19" t="s">
        <v>5</v>
      </c>
      <c r="I49" s="80" t="s">
        <v>5</v>
      </c>
      <c r="J49" s="30">
        <f t="shared" si="5"/>
        <v>5217.54</v>
      </c>
      <c r="K49" s="2"/>
      <c r="L49" s="31"/>
      <c r="M49" s="31"/>
      <c r="N49" s="31"/>
      <c r="O49" s="31"/>
    </row>
    <row r="50" spans="1:15" x14ac:dyDescent="0.3">
      <c r="A50" s="16">
        <v>25</v>
      </c>
      <c r="B50" s="15">
        <v>45689</v>
      </c>
      <c r="C50" s="19">
        <f t="shared" si="0"/>
        <v>26223.710000000032</v>
      </c>
      <c r="D50" s="19">
        <f t="shared" si="1"/>
        <v>5217.54</v>
      </c>
      <c r="E50" s="19">
        <f t="shared" si="2"/>
        <v>2391.9900000000002</v>
      </c>
      <c r="F50" s="19">
        <f t="shared" si="3"/>
        <v>0</v>
      </c>
      <c r="G50" s="19">
        <f t="shared" si="4"/>
        <v>2825.5499999999997</v>
      </c>
      <c r="H50" s="19" t="s">
        <v>5</v>
      </c>
      <c r="I50" s="80" t="s">
        <v>5</v>
      </c>
      <c r="J50" s="30">
        <f t="shared" si="5"/>
        <v>5217.54</v>
      </c>
      <c r="K50" s="2"/>
      <c r="L50" s="31"/>
      <c r="M50" s="31"/>
      <c r="N50" s="31"/>
      <c r="O50" s="31"/>
    </row>
    <row r="51" spans="1:15" x14ac:dyDescent="0.3">
      <c r="A51" s="16">
        <v>26</v>
      </c>
      <c r="B51" s="15">
        <v>45717</v>
      </c>
      <c r="C51" s="19">
        <f t="shared" si="0"/>
        <v>23831.72000000003</v>
      </c>
      <c r="D51" s="19">
        <f t="shared" si="1"/>
        <v>5217.54</v>
      </c>
      <c r="E51" s="19">
        <f t="shared" si="2"/>
        <v>2391.9900000000002</v>
      </c>
      <c r="F51" s="19">
        <f t="shared" si="3"/>
        <v>0</v>
      </c>
      <c r="G51" s="19">
        <f t="shared" si="4"/>
        <v>2825.5499999999997</v>
      </c>
      <c r="H51" s="19" t="s">
        <v>5</v>
      </c>
      <c r="I51" s="80" t="s">
        <v>5</v>
      </c>
      <c r="J51" s="30">
        <f t="shared" si="5"/>
        <v>5217.54</v>
      </c>
      <c r="K51" s="2"/>
      <c r="L51" s="31"/>
      <c r="M51" s="31"/>
      <c r="N51" s="31"/>
      <c r="O51" s="31"/>
    </row>
    <row r="52" spans="1:15" x14ac:dyDescent="0.3">
      <c r="A52" s="16">
        <v>27</v>
      </c>
      <c r="B52" s="15">
        <v>45748</v>
      </c>
      <c r="C52" s="19">
        <f t="shared" si="0"/>
        <v>21439.730000000029</v>
      </c>
      <c r="D52" s="19">
        <f t="shared" si="1"/>
        <v>5217.54</v>
      </c>
      <c r="E52" s="19">
        <f t="shared" si="2"/>
        <v>2391.9900000000002</v>
      </c>
      <c r="F52" s="19">
        <f t="shared" si="3"/>
        <v>0</v>
      </c>
      <c r="G52" s="19">
        <f t="shared" si="4"/>
        <v>2825.5499999999997</v>
      </c>
      <c r="H52" s="19" t="s">
        <v>5</v>
      </c>
      <c r="I52" s="80" t="s">
        <v>5</v>
      </c>
      <c r="J52" s="30">
        <f t="shared" si="5"/>
        <v>5217.54</v>
      </c>
      <c r="K52" s="2"/>
      <c r="L52" s="31"/>
      <c r="M52" s="31"/>
      <c r="N52" s="31"/>
      <c r="O52" s="31"/>
    </row>
    <row r="53" spans="1:15" x14ac:dyDescent="0.3">
      <c r="A53" s="16">
        <v>28</v>
      </c>
      <c r="B53" s="15">
        <v>45778</v>
      </c>
      <c r="C53" s="19">
        <f t="shared" si="0"/>
        <v>19047.740000000027</v>
      </c>
      <c r="D53" s="19">
        <f t="shared" si="1"/>
        <v>5217.54</v>
      </c>
      <c r="E53" s="19">
        <f t="shared" si="2"/>
        <v>2391.9900000000002</v>
      </c>
      <c r="F53" s="19">
        <f t="shared" si="3"/>
        <v>0</v>
      </c>
      <c r="G53" s="19">
        <f t="shared" si="4"/>
        <v>2825.5499999999997</v>
      </c>
      <c r="H53" s="19" t="s">
        <v>5</v>
      </c>
      <c r="I53" s="80" t="s">
        <v>5</v>
      </c>
      <c r="J53" s="30">
        <f t="shared" si="5"/>
        <v>5217.54</v>
      </c>
      <c r="K53" s="2"/>
      <c r="L53" s="31"/>
      <c r="M53" s="31"/>
      <c r="N53" s="31"/>
      <c r="O53" s="31"/>
    </row>
    <row r="54" spans="1:15" x14ac:dyDescent="0.3">
      <c r="A54" s="16">
        <v>29</v>
      </c>
      <c r="B54" s="15">
        <v>45809</v>
      </c>
      <c r="C54" s="19">
        <f t="shared" si="0"/>
        <v>16655.750000000025</v>
      </c>
      <c r="D54" s="19">
        <f t="shared" si="1"/>
        <v>5217.54</v>
      </c>
      <c r="E54" s="19">
        <f t="shared" si="2"/>
        <v>2391.9900000000002</v>
      </c>
      <c r="F54" s="19">
        <f t="shared" si="3"/>
        <v>0</v>
      </c>
      <c r="G54" s="19">
        <f t="shared" si="4"/>
        <v>2825.5499999999997</v>
      </c>
      <c r="H54" s="19" t="s">
        <v>5</v>
      </c>
      <c r="I54" s="80" t="s">
        <v>5</v>
      </c>
      <c r="J54" s="30">
        <f t="shared" si="5"/>
        <v>5217.54</v>
      </c>
      <c r="K54" s="2"/>
      <c r="L54" s="31"/>
      <c r="M54" s="31"/>
      <c r="N54" s="31"/>
      <c r="O54" s="31"/>
    </row>
    <row r="55" spans="1:15" x14ac:dyDescent="0.3">
      <c r="A55" s="16">
        <v>30</v>
      </c>
      <c r="B55" s="15">
        <v>45839</v>
      </c>
      <c r="C55" s="19">
        <f t="shared" si="0"/>
        <v>14263.760000000026</v>
      </c>
      <c r="D55" s="19">
        <f t="shared" si="1"/>
        <v>5217.54</v>
      </c>
      <c r="E55" s="19">
        <f t="shared" si="2"/>
        <v>2391.9900000000002</v>
      </c>
      <c r="F55" s="19">
        <f t="shared" si="3"/>
        <v>0</v>
      </c>
      <c r="G55" s="19">
        <f t="shared" si="4"/>
        <v>2825.5499999999997</v>
      </c>
      <c r="H55" s="19" t="s">
        <v>5</v>
      </c>
      <c r="I55" s="80" t="s">
        <v>5</v>
      </c>
      <c r="J55" s="30">
        <f t="shared" si="5"/>
        <v>5217.54</v>
      </c>
      <c r="K55" s="2"/>
      <c r="L55" s="31"/>
      <c r="M55" s="31"/>
      <c r="N55" s="31"/>
      <c r="O55" s="31"/>
    </row>
    <row r="56" spans="1:15" x14ac:dyDescent="0.3">
      <c r="A56" s="16">
        <v>31</v>
      </c>
      <c r="B56" s="15">
        <v>45870</v>
      </c>
      <c r="C56" s="19">
        <f t="shared" si="0"/>
        <v>11871.770000000026</v>
      </c>
      <c r="D56" s="19">
        <f t="shared" si="1"/>
        <v>5217.54</v>
      </c>
      <c r="E56" s="19">
        <f t="shared" si="2"/>
        <v>2391.9900000000002</v>
      </c>
      <c r="F56" s="19">
        <f t="shared" si="3"/>
        <v>0</v>
      </c>
      <c r="G56" s="19">
        <f t="shared" si="4"/>
        <v>2825.5499999999997</v>
      </c>
      <c r="H56" s="19" t="s">
        <v>5</v>
      </c>
      <c r="I56" s="80" t="s">
        <v>5</v>
      </c>
      <c r="J56" s="30">
        <f t="shared" si="5"/>
        <v>5217.54</v>
      </c>
      <c r="K56" s="2"/>
      <c r="L56" s="31"/>
      <c r="M56" s="31"/>
      <c r="N56" s="31"/>
      <c r="O56" s="31"/>
    </row>
    <row r="57" spans="1:15" x14ac:dyDescent="0.3">
      <c r="A57" s="16">
        <v>32</v>
      </c>
      <c r="B57" s="15">
        <v>45901</v>
      </c>
      <c r="C57" s="19">
        <f t="shared" si="0"/>
        <v>9479.7800000000261</v>
      </c>
      <c r="D57" s="19">
        <f t="shared" si="1"/>
        <v>5217.54</v>
      </c>
      <c r="E57" s="19">
        <f t="shared" si="2"/>
        <v>2391.9900000000002</v>
      </c>
      <c r="F57" s="19">
        <f t="shared" si="3"/>
        <v>0</v>
      </c>
      <c r="G57" s="19">
        <f t="shared" si="4"/>
        <v>2825.5499999999997</v>
      </c>
      <c r="H57" s="19" t="s">
        <v>5</v>
      </c>
      <c r="I57" s="80" t="s">
        <v>5</v>
      </c>
      <c r="J57" s="30">
        <f t="shared" si="5"/>
        <v>5217.54</v>
      </c>
      <c r="K57" s="2"/>
      <c r="L57" s="31"/>
      <c r="M57" s="31"/>
      <c r="N57" s="31"/>
      <c r="O57" s="31"/>
    </row>
    <row r="58" spans="1:15" x14ac:dyDescent="0.3">
      <c r="A58" s="16">
        <v>33</v>
      </c>
      <c r="B58" s="15">
        <v>45931</v>
      </c>
      <c r="C58" s="19">
        <f t="shared" ref="C58:C85" si="6">C57-E58</f>
        <v>7087.7900000000263</v>
      </c>
      <c r="D58" s="19">
        <f t="shared" ref="D58:D85" si="7">E58+F58+G58</f>
        <v>5217.54</v>
      </c>
      <c r="E58" s="19">
        <f t="shared" ref="E58:E89" si="8">IF(A58=$F$8,C57,MIN(C57,ROUND($C$25*$F$16,2)-F58-G58))</f>
        <v>2391.9900000000002</v>
      </c>
      <c r="F58" s="19">
        <f t="shared" ref="F58:F85" si="9">ROUND(C57*$F$15/12,2)</f>
        <v>0</v>
      </c>
      <c r="G58" s="19">
        <f t="shared" ref="G58:G85" si="10">IF(AND($F$8&gt;=A58,$F$9&lt;A58),$F$14,$F$13)</f>
        <v>2825.5499999999997</v>
      </c>
      <c r="H58" s="19" t="s">
        <v>5</v>
      </c>
      <c r="I58" s="80" t="s">
        <v>5</v>
      </c>
      <c r="J58" s="30">
        <f t="shared" ref="J58:J85" si="11">SUM(E58:I58)</f>
        <v>5217.54</v>
      </c>
      <c r="K58" s="2"/>
      <c r="L58" s="31"/>
      <c r="M58" s="31"/>
      <c r="N58" s="31"/>
      <c r="O58" s="31"/>
    </row>
    <row r="59" spans="1:15" x14ac:dyDescent="0.3">
      <c r="A59" s="16">
        <v>34</v>
      </c>
      <c r="B59" s="15">
        <v>45962</v>
      </c>
      <c r="C59" s="19">
        <f t="shared" si="6"/>
        <v>4695.8000000000266</v>
      </c>
      <c r="D59" s="19">
        <f t="shared" si="7"/>
        <v>5217.54</v>
      </c>
      <c r="E59" s="19">
        <f t="shared" si="8"/>
        <v>2391.9900000000002</v>
      </c>
      <c r="F59" s="19">
        <f t="shared" si="9"/>
        <v>0</v>
      </c>
      <c r="G59" s="19">
        <f t="shared" si="10"/>
        <v>2825.5499999999997</v>
      </c>
      <c r="H59" s="19" t="s">
        <v>5</v>
      </c>
      <c r="I59" s="80" t="s">
        <v>5</v>
      </c>
      <c r="J59" s="30">
        <f t="shared" si="11"/>
        <v>5217.54</v>
      </c>
      <c r="K59" s="2"/>
      <c r="L59" s="31"/>
      <c r="M59" s="31"/>
      <c r="N59" s="31"/>
      <c r="O59" s="31"/>
    </row>
    <row r="60" spans="1:15" x14ac:dyDescent="0.3">
      <c r="A60" s="16">
        <v>35</v>
      </c>
      <c r="B60" s="15">
        <v>45992</v>
      </c>
      <c r="C60" s="19">
        <f t="shared" si="6"/>
        <v>2303.8100000000263</v>
      </c>
      <c r="D60" s="19">
        <f t="shared" si="7"/>
        <v>5217.54</v>
      </c>
      <c r="E60" s="19">
        <f t="shared" si="8"/>
        <v>2391.9900000000002</v>
      </c>
      <c r="F60" s="19">
        <f t="shared" si="9"/>
        <v>0</v>
      </c>
      <c r="G60" s="19">
        <f t="shared" si="10"/>
        <v>2825.5499999999997</v>
      </c>
      <c r="H60" s="19" t="s">
        <v>5</v>
      </c>
      <c r="I60" s="80" t="s">
        <v>5</v>
      </c>
      <c r="J60" s="30">
        <f t="shared" si="11"/>
        <v>5217.54</v>
      </c>
      <c r="K60" s="2"/>
      <c r="L60" s="31"/>
      <c r="M60" s="31"/>
      <c r="N60" s="31"/>
      <c r="O60" s="31"/>
    </row>
    <row r="61" spans="1:15" x14ac:dyDescent="0.3">
      <c r="A61" s="16">
        <v>36</v>
      </c>
      <c r="B61" s="15">
        <v>46023</v>
      </c>
      <c r="C61" s="19">
        <f t="shared" si="6"/>
        <v>0</v>
      </c>
      <c r="D61" s="19">
        <f t="shared" si="7"/>
        <v>5129.360000000026</v>
      </c>
      <c r="E61" s="19">
        <f t="shared" si="8"/>
        <v>2303.8100000000263</v>
      </c>
      <c r="F61" s="19">
        <f t="shared" si="9"/>
        <v>0</v>
      </c>
      <c r="G61" s="19">
        <f t="shared" si="10"/>
        <v>2825.5499999999997</v>
      </c>
      <c r="H61" s="19" t="s">
        <v>5</v>
      </c>
      <c r="I61" s="80" t="s">
        <v>5</v>
      </c>
      <c r="J61" s="30">
        <f t="shared" si="11"/>
        <v>5129.360000000026</v>
      </c>
      <c r="K61" s="2"/>
      <c r="L61" s="31"/>
      <c r="M61" s="31"/>
      <c r="N61" s="31"/>
      <c r="O61" s="31"/>
    </row>
    <row r="62" spans="1:15" x14ac:dyDescent="0.3">
      <c r="A62" s="16">
        <v>37</v>
      </c>
      <c r="B62" s="15">
        <v>46054</v>
      </c>
      <c r="C62" s="19">
        <f t="shared" si="6"/>
        <v>0</v>
      </c>
      <c r="D62" s="19">
        <f t="shared" si="7"/>
        <v>0</v>
      </c>
      <c r="E62" s="19">
        <f t="shared" si="8"/>
        <v>0</v>
      </c>
      <c r="F62" s="19">
        <f t="shared" si="9"/>
        <v>0</v>
      </c>
      <c r="G62" s="19">
        <f t="shared" si="10"/>
        <v>0</v>
      </c>
      <c r="H62" s="19" t="s">
        <v>5</v>
      </c>
      <c r="I62" s="80" t="s">
        <v>5</v>
      </c>
      <c r="J62" s="30">
        <f t="shared" si="11"/>
        <v>0</v>
      </c>
      <c r="K62" s="2"/>
      <c r="L62" s="31"/>
      <c r="M62" s="31"/>
      <c r="N62" s="31"/>
      <c r="O62" s="31"/>
    </row>
    <row r="63" spans="1:15" x14ac:dyDescent="0.3">
      <c r="A63" s="16">
        <v>38</v>
      </c>
      <c r="B63" s="15">
        <v>46082</v>
      </c>
      <c r="C63" s="19">
        <f t="shared" si="6"/>
        <v>0</v>
      </c>
      <c r="D63" s="19">
        <f t="shared" si="7"/>
        <v>0</v>
      </c>
      <c r="E63" s="19">
        <f t="shared" si="8"/>
        <v>0</v>
      </c>
      <c r="F63" s="19">
        <f t="shared" si="9"/>
        <v>0</v>
      </c>
      <c r="G63" s="19">
        <f t="shared" si="10"/>
        <v>0</v>
      </c>
      <c r="H63" s="19" t="s">
        <v>5</v>
      </c>
      <c r="I63" s="80" t="s">
        <v>5</v>
      </c>
      <c r="J63" s="30">
        <f t="shared" si="11"/>
        <v>0</v>
      </c>
      <c r="K63" s="2"/>
      <c r="L63" s="31"/>
      <c r="M63" s="31"/>
      <c r="N63" s="31"/>
      <c r="O63" s="31"/>
    </row>
    <row r="64" spans="1:15" x14ac:dyDescent="0.3">
      <c r="A64" s="16">
        <v>39</v>
      </c>
      <c r="B64" s="15">
        <v>46113</v>
      </c>
      <c r="C64" s="19">
        <f t="shared" si="6"/>
        <v>0</v>
      </c>
      <c r="D64" s="19">
        <f t="shared" si="7"/>
        <v>0</v>
      </c>
      <c r="E64" s="19">
        <f t="shared" si="8"/>
        <v>0</v>
      </c>
      <c r="F64" s="19">
        <f t="shared" si="9"/>
        <v>0</v>
      </c>
      <c r="G64" s="19">
        <f t="shared" si="10"/>
        <v>0</v>
      </c>
      <c r="H64" s="19" t="s">
        <v>5</v>
      </c>
      <c r="I64" s="80" t="s">
        <v>5</v>
      </c>
      <c r="J64" s="30">
        <f t="shared" si="11"/>
        <v>0</v>
      </c>
      <c r="K64" s="2"/>
      <c r="L64" s="31"/>
      <c r="M64" s="31"/>
      <c r="N64" s="31"/>
      <c r="O64" s="31"/>
    </row>
    <row r="65" spans="1:15" x14ac:dyDescent="0.3">
      <c r="A65" s="16">
        <v>40</v>
      </c>
      <c r="B65" s="15">
        <v>46143</v>
      </c>
      <c r="C65" s="19">
        <f t="shared" si="6"/>
        <v>0</v>
      </c>
      <c r="D65" s="19">
        <f t="shared" si="7"/>
        <v>0</v>
      </c>
      <c r="E65" s="19">
        <f t="shared" si="8"/>
        <v>0</v>
      </c>
      <c r="F65" s="19">
        <f t="shared" si="9"/>
        <v>0</v>
      </c>
      <c r="G65" s="19">
        <f t="shared" si="10"/>
        <v>0</v>
      </c>
      <c r="H65" s="19" t="s">
        <v>5</v>
      </c>
      <c r="I65" s="80" t="s">
        <v>5</v>
      </c>
      <c r="J65" s="30">
        <f t="shared" si="11"/>
        <v>0</v>
      </c>
      <c r="K65" s="2"/>
      <c r="L65" s="31"/>
      <c r="M65" s="31"/>
      <c r="N65" s="31"/>
      <c r="O65" s="31"/>
    </row>
    <row r="66" spans="1:15" x14ac:dyDescent="0.3">
      <c r="A66" s="16">
        <v>41</v>
      </c>
      <c r="B66" s="15">
        <v>46174</v>
      </c>
      <c r="C66" s="19">
        <f t="shared" si="6"/>
        <v>0</v>
      </c>
      <c r="D66" s="19">
        <f t="shared" si="7"/>
        <v>0</v>
      </c>
      <c r="E66" s="19">
        <f t="shared" si="8"/>
        <v>0</v>
      </c>
      <c r="F66" s="19">
        <f t="shared" si="9"/>
        <v>0</v>
      </c>
      <c r="G66" s="19">
        <f t="shared" si="10"/>
        <v>0</v>
      </c>
      <c r="H66" s="19" t="s">
        <v>5</v>
      </c>
      <c r="I66" s="80" t="s">
        <v>5</v>
      </c>
      <c r="J66" s="30">
        <f t="shared" si="11"/>
        <v>0</v>
      </c>
      <c r="K66" s="2"/>
      <c r="L66" s="31"/>
      <c r="M66" s="31"/>
      <c r="N66" s="31"/>
      <c r="O66" s="31"/>
    </row>
    <row r="67" spans="1:15" x14ac:dyDescent="0.3">
      <c r="A67" s="16">
        <v>42</v>
      </c>
      <c r="B67" s="15">
        <v>46204</v>
      </c>
      <c r="C67" s="19">
        <f t="shared" si="6"/>
        <v>0</v>
      </c>
      <c r="D67" s="19">
        <f t="shared" si="7"/>
        <v>0</v>
      </c>
      <c r="E67" s="19">
        <f t="shared" si="8"/>
        <v>0</v>
      </c>
      <c r="F67" s="19">
        <f t="shared" si="9"/>
        <v>0</v>
      </c>
      <c r="G67" s="19">
        <f t="shared" si="10"/>
        <v>0</v>
      </c>
      <c r="H67" s="19" t="s">
        <v>5</v>
      </c>
      <c r="I67" s="80" t="s">
        <v>5</v>
      </c>
      <c r="J67" s="30">
        <f t="shared" si="11"/>
        <v>0</v>
      </c>
      <c r="K67" s="2"/>
      <c r="L67" s="31"/>
      <c r="M67" s="31"/>
      <c r="N67" s="31"/>
      <c r="O67" s="31"/>
    </row>
    <row r="68" spans="1:15" x14ac:dyDescent="0.3">
      <c r="A68" s="16">
        <v>43</v>
      </c>
      <c r="B68" s="15">
        <v>46235</v>
      </c>
      <c r="C68" s="19">
        <f t="shared" si="6"/>
        <v>0</v>
      </c>
      <c r="D68" s="19">
        <f t="shared" si="7"/>
        <v>0</v>
      </c>
      <c r="E68" s="19">
        <f t="shared" si="8"/>
        <v>0</v>
      </c>
      <c r="F68" s="19">
        <f t="shared" si="9"/>
        <v>0</v>
      </c>
      <c r="G68" s="19">
        <f t="shared" si="10"/>
        <v>0</v>
      </c>
      <c r="H68" s="19" t="s">
        <v>5</v>
      </c>
      <c r="I68" s="80" t="s">
        <v>5</v>
      </c>
      <c r="J68" s="30">
        <f t="shared" si="11"/>
        <v>0</v>
      </c>
      <c r="K68" s="2"/>
      <c r="L68" s="31"/>
      <c r="M68" s="31"/>
      <c r="N68" s="31"/>
      <c r="O68" s="31"/>
    </row>
    <row r="69" spans="1:15" x14ac:dyDescent="0.3">
      <c r="A69" s="16">
        <v>44</v>
      </c>
      <c r="B69" s="15">
        <v>46266</v>
      </c>
      <c r="C69" s="19">
        <f t="shared" si="6"/>
        <v>0</v>
      </c>
      <c r="D69" s="19">
        <f t="shared" si="7"/>
        <v>0</v>
      </c>
      <c r="E69" s="19">
        <f t="shared" si="8"/>
        <v>0</v>
      </c>
      <c r="F69" s="19">
        <f t="shared" si="9"/>
        <v>0</v>
      </c>
      <c r="G69" s="19">
        <f t="shared" si="10"/>
        <v>0</v>
      </c>
      <c r="H69" s="19" t="s">
        <v>5</v>
      </c>
      <c r="I69" s="80" t="s">
        <v>5</v>
      </c>
      <c r="J69" s="30">
        <f t="shared" si="11"/>
        <v>0</v>
      </c>
      <c r="K69" s="2"/>
      <c r="L69" s="31"/>
      <c r="M69" s="31"/>
      <c r="N69" s="31"/>
      <c r="O69" s="31"/>
    </row>
    <row r="70" spans="1:15" x14ac:dyDescent="0.3">
      <c r="A70" s="16">
        <v>45</v>
      </c>
      <c r="B70" s="15">
        <v>46296</v>
      </c>
      <c r="C70" s="19">
        <f t="shared" si="6"/>
        <v>0</v>
      </c>
      <c r="D70" s="19">
        <f t="shared" si="7"/>
        <v>0</v>
      </c>
      <c r="E70" s="19">
        <f t="shared" si="8"/>
        <v>0</v>
      </c>
      <c r="F70" s="19">
        <f t="shared" si="9"/>
        <v>0</v>
      </c>
      <c r="G70" s="19">
        <f t="shared" si="10"/>
        <v>0</v>
      </c>
      <c r="H70" s="19" t="s">
        <v>5</v>
      </c>
      <c r="I70" s="80" t="s">
        <v>5</v>
      </c>
      <c r="J70" s="30">
        <f t="shared" si="11"/>
        <v>0</v>
      </c>
      <c r="K70" s="2"/>
      <c r="L70" s="31"/>
      <c r="M70" s="31"/>
      <c r="N70" s="31"/>
      <c r="O70" s="31"/>
    </row>
    <row r="71" spans="1:15" x14ac:dyDescent="0.3">
      <c r="A71" s="16">
        <v>46</v>
      </c>
      <c r="B71" s="15">
        <v>46327</v>
      </c>
      <c r="C71" s="19">
        <f t="shared" si="6"/>
        <v>0</v>
      </c>
      <c r="D71" s="19">
        <f t="shared" si="7"/>
        <v>0</v>
      </c>
      <c r="E71" s="19">
        <f t="shared" si="8"/>
        <v>0</v>
      </c>
      <c r="F71" s="19">
        <f t="shared" si="9"/>
        <v>0</v>
      </c>
      <c r="G71" s="19">
        <f t="shared" si="10"/>
        <v>0</v>
      </c>
      <c r="H71" s="19" t="s">
        <v>5</v>
      </c>
      <c r="I71" s="80" t="s">
        <v>5</v>
      </c>
      <c r="J71" s="30">
        <f t="shared" si="11"/>
        <v>0</v>
      </c>
      <c r="K71" s="2"/>
      <c r="L71" s="31"/>
      <c r="M71" s="31"/>
      <c r="N71" s="31"/>
      <c r="O71" s="31"/>
    </row>
    <row r="72" spans="1:15" x14ac:dyDescent="0.3">
      <c r="A72" s="16">
        <v>47</v>
      </c>
      <c r="B72" s="15">
        <v>46357</v>
      </c>
      <c r="C72" s="19">
        <f t="shared" si="6"/>
        <v>0</v>
      </c>
      <c r="D72" s="19">
        <f t="shared" si="7"/>
        <v>0</v>
      </c>
      <c r="E72" s="19">
        <f t="shared" si="8"/>
        <v>0</v>
      </c>
      <c r="F72" s="19">
        <f t="shared" si="9"/>
        <v>0</v>
      </c>
      <c r="G72" s="19">
        <f t="shared" si="10"/>
        <v>0</v>
      </c>
      <c r="H72" s="19" t="s">
        <v>5</v>
      </c>
      <c r="I72" s="80" t="s">
        <v>5</v>
      </c>
      <c r="J72" s="30">
        <f t="shared" si="11"/>
        <v>0</v>
      </c>
      <c r="K72" s="2"/>
      <c r="L72" s="31"/>
      <c r="M72" s="31"/>
      <c r="N72" s="31"/>
      <c r="O72" s="31"/>
    </row>
    <row r="73" spans="1:15" x14ac:dyDescent="0.3">
      <c r="A73" s="16">
        <v>48</v>
      </c>
      <c r="B73" s="15">
        <v>46388</v>
      </c>
      <c r="C73" s="19">
        <f t="shared" si="6"/>
        <v>0</v>
      </c>
      <c r="D73" s="19">
        <f t="shared" si="7"/>
        <v>0</v>
      </c>
      <c r="E73" s="19">
        <f t="shared" si="8"/>
        <v>0</v>
      </c>
      <c r="F73" s="19">
        <f t="shared" si="9"/>
        <v>0</v>
      </c>
      <c r="G73" s="19">
        <f t="shared" si="10"/>
        <v>0</v>
      </c>
      <c r="H73" s="19" t="s">
        <v>5</v>
      </c>
      <c r="I73" s="80" t="s">
        <v>5</v>
      </c>
      <c r="J73" s="30">
        <f t="shared" si="11"/>
        <v>0</v>
      </c>
      <c r="K73" s="2"/>
      <c r="L73" s="31"/>
      <c r="M73" s="31"/>
      <c r="N73" s="31"/>
      <c r="O73" s="31"/>
    </row>
    <row r="74" spans="1:15" x14ac:dyDescent="0.3">
      <c r="A74" s="16">
        <v>49</v>
      </c>
      <c r="B74" s="15">
        <v>46419</v>
      </c>
      <c r="C74" s="19">
        <f t="shared" si="6"/>
        <v>0</v>
      </c>
      <c r="D74" s="19">
        <f t="shared" si="7"/>
        <v>0</v>
      </c>
      <c r="E74" s="19">
        <f t="shared" si="8"/>
        <v>0</v>
      </c>
      <c r="F74" s="19">
        <f t="shared" si="9"/>
        <v>0</v>
      </c>
      <c r="G74" s="19">
        <f t="shared" si="10"/>
        <v>0</v>
      </c>
      <c r="H74" s="19" t="s">
        <v>5</v>
      </c>
      <c r="I74" s="80" t="s">
        <v>5</v>
      </c>
      <c r="J74" s="30">
        <f t="shared" si="11"/>
        <v>0</v>
      </c>
      <c r="K74" s="2"/>
      <c r="L74" s="31"/>
      <c r="M74" s="31"/>
      <c r="N74" s="31"/>
      <c r="O74" s="31"/>
    </row>
    <row r="75" spans="1:15" x14ac:dyDescent="0.3">
      <c r="A75" s="16">
        <v>50</v>
      </c>
      <c r="B75" s="15">
        <v>46447</v>
      </c>
      <c r="C75" s="19">
        <f t="shared" si="6"/>
        <v>0</v>
      </c>
      <c r="D75" s="19">
        <f t="shared" si="7"/>
        <v>0</v>
      </c>
      <c r="E75" s="19">
        <f t="shared" si="8"/>
        <v>0</v>
      </c>
      <c r="F75" s="19">
        <f t="shared" si="9"/>
        <v>0</v>
      </c>
      <c r="G75" s="19">
        <f t="shared" si="10"/>
        <v>0</v>
      </c>
      <c r="H75" s="19" t="s">
        <v>5</v>
      </c>
      <c r="I75" s="80" t="s">
        <v>5</v>
      </c>
      <c r="J75" s="30">
        <f t="shared" si="11"/>
        <v>0</v>
      </c>
      <c r="K75" s="2"/>
      <c r="L75" s="31"/>
      <c r="M75" s="31"/>
      <c r="N75" s="31"/>
      <c r="O75" s="31"/>
    </row>
    <row r="76" spans="1:15" x14ac:dyDescent="0.3">
      <c r="A76" s="16">
        <v>51</v>
      </c>
      <c r="B76" s="15">
        <v>46478</v>
      </c>
      <c r="C76" s="19">
        <f t="shared" si="6"/>
        <v>0</v>
      </c>
      <c r="D76" s="19">
        <f t="shared" si="7"/>
        <v>0</v>
      </c>
      <c r="E76" s="19">
        <f t="shared" si="8"/>
        <v>0</v>
      </c>
      <c r="F76" s="19">
        <f t="shared" si="9"/>
        <v>0</v>
      </c>
      <c r="G76" s="19">
        <f t="shared" si="10"/>
        <v>0</v>
      </c>
      <c r="H76" s="19" t="s">
        <v>5</v>
      </c>
      <c r="I76" s="80" t="s">
        <v>5</v>
      </c>
      <c r="J76" s="30">
        <f t="shared" si="11"/>
        <v>0</v>
      </c>
      <c r="K76" s="2"/>
      <c r="L76" s="31"/>
      <c r="M76" s="31"/>
      <c r="N76" s="31"/>
      <c r="O76" s="31"/>
    </row>
    <row r="77" spans="1:15" x14ac:dyDescent="0.3">
      <c r="A77" s="16">
        <v>52</v>
      </c>
      <c r="B77" s="15">
        <v>46508</v>
      </c>
      <c r="C77" s="19">
        <f t="shared" si="6"/>
        <v>0</v>
      </c>
      <c r="D77" s="19">
        <f t="shared" si="7"/>
        <v>0</v>
      </c>
      <c r="E77" s="19">
        <f t="shared" si="8"/>
        <v>0</v>
      </c>
      <c r="F77" s="19">
        <f t="shared" si="9"/>
        <v>0</v>
      </c>
      <c r="G77" s="19">
        <f t="shared" si="10"/>
        <v>0</v>
      </c>
      <c r="H77" s="19" t="s">
        <v>5</v>
      </c>
      <c r="I77" s="80" t="s">
        <v>5</v>
      </c>
      <c r="J77" s="30">
        <f t="shared" si="11"/>
        <v>0</v>
      </c>
      <c r="K77" s="2"/>
      <c r="L77" s="31"/>
      <c r="M77" s="31"/>
      <c r="N77" s="31"/>
      <c r="O77" s="31"/>
    </row>
    <row r="78" spans="1:15" x14ac:dyDescent="0.3">
      <c r="A78" s="16">
        <v>53</v>
      </c>
      <c r="B78" s="15">
        <v>46539</v>
      </c>
      <c r="C78" s="19">
        <f t="shared" si="6"/>
        <v>0</v>
      </c>
      <c r="D78" s="19">
        <f t="shared" si="7"/>
        <v>0</v>
      </c>
      <c r="E78" s="19">
        <f t="shared" si="8"/>
        <v>0</v>
      </c>
      <c r="F78" s="19">
        <f t="shared" si="9"/>
        <v>0</v>
      </c>
      <c r="G78" s="19">
        <f t="shared" si="10"/>
        <v>0</v>
      </c>
      <c r="H78" s="19" t="s">
        <v>5</v>
      </c>
      <c r="I78" s="80" t="s">
        <v>5</v>
      </c>
      <c r="J78" s="30">
        <f t="shared" si="11"/>
        <v>0</v>
      </c>
      <c r="K78" s="2"/>
      <c r="L78" s="31"/>
      <c r="M78" s="31"/>
      <c r="N78" s="31"/>
      <c r="O78" s="31"/>
    </row>
    <row r="79" spans="1:15" x14ac:dyDescent="0.3">
      <c r="A79" s="16">
        <v>54</v>
      </c>
      <c r="B79" s="15">
        <v>46569</v>
      </c>
      <c r="C79" s="19">
        <f t="shared" si="6"/>
        <v>0</v>
      </c>
      <c r="D79" s="19">
        <f t="shared" si="7"/>
        <v>0</v>
      </c>
      <c r="E79" s="19">
        <f t="shared" si="8"/>
        <v>0</v>
      </c>
      <c r="F79" s="19">
        <f t="shared" si="9"/>
        <v>0</v>
      </c>
      <c r="G79" s="19">
        <f t="shared" si="10"/>
        <v>0</v>
      </c>
      <c r="H79" s="19" t="s">
        <v>5</v>
      </c>
      <c r="I79" s="80" t="s">
        <v>5</v>
      </c>
      <c r="J79" s="30">
        <f t="shared" si="11"/>
        <v>0</v>
      </c>
      <c r="K79" s="2"/>
      <c r="L79" s="31"/>
      <c r="M79" s="31"/>
      <c r="N79" s="31"/>
      <c r="O79" s="31"/>
    </row>
    <row r="80" spans="1:15" x14ac:dyDescent="0.3">
      <c r="A80" s="16">
        <v>55</v>
      </c>
      <c r="B80" s="15">
        <v>46600</v>
      </c>
      <c r="C80" s="19">
        <f t="shared" si="6"/>
        <v>0</v>
      </c>
      <c r="D80" s="19">
        <f t="shared" si="7"/>
        <v>0</v>
      </c>
      <c r="E80" s="19">
        <f t="shared" si="8"/>
        <v>0</v>
      </c>
      <c r="F80" s="19">
        <f t="shared" si="9"/>
        <v>0</v>
      </c>
      <c r="G80" s="19">
        <f t="shared" si="10"/>
        <v>0</v>
      </c>
      <c r="H80" s="19" t="s">
        <v>5</v>
      </c>
      <c r="I80" s="80" t="s">
        <v>5</v>
      </c>
      <c r="J80" s="30">
        <f t="shared" si="11"/>
        <v>0</v>
      </c>
      <c r="K80" s="2"/>
      <c r="L80" s="31"/>
      <c r="M80" s="31"/>
      <c r="N80" s="31"/>
      <c r="O80" s="31"/>
    </row>
    <row r="81" spans="1:15" x14ac:dyDescent="0.3">
      <c r="A81" s="16">
        <v>56</v>
      </c>
      <c r="B81" s="15">
        <v>46631</v>
      </c>
      <c r="C81" s="19">
        <f t="shared" si="6"/>
        <v>0</v>
      </c>
      <c r="D81" s="19">
        <f t="shared" si="7"/>
        <v>0</v>
      </c>
      <c r="E81" s="19">
        <f t="shared" si="8"/>
        <v>0</v>
      </c>
      <c r="F81" s="19">
        <f t="shared" si="9"/>
        <v>0</v>
      </c>
      <c r="G81" s="19">
        <f t="shared" si="10"/>
        <v>0</v>
      </c>
      <c r="H81" s="19" t="s">
        <v>5</v>
      </c>
      <c r="I81" s="80" t="s">
        <v>5</v>
      </c>
      <c r="J81" s="30">
        <f t="shared" si="11"/>
        <v>0</v>
      </c>
      <c r="K81" s="2"/>
      <c r="L81" s="31"/>
      <c r="M81" s="31"/>
      <c r="N81" s="31"/>
      <c r="O81" s="31"/>
    </row>
    <row r="82" spans="1:15" x14ac:dyDescent="0.3">
      <c r="A82" s="16">
        <v>57</v>
      </c>
      <c r="B82" s="15">
        <v>46661</v>
      </c>
      <c r="C82" s="19">
        <f t="shared" si="6"/>
        <v>0</v>
      </c>
      <c r="D82" s="19">
        <f t="shared" si="7"/>
        <v>0</v>
      </c>
      <c r="E82" s="19">
        <f t="shared" si="8"/>
        <v>0</v>
      </c>
      <c r="F82" s="19">
        <f t="shared" si="9"/>
        <v>0</v>
      </c>
      <c r="G82" s="19">
        <f t="shared" si="10"/>
        <v>0</v>
      </c>
      <c r="H82" s="19" t="s">
        <v>5</v>
      </c>
      <c r="I82" s="80" t="s">
        <v>5</v>
      </c>
      <c r="J82" s="30">
        <f t="shared" si="11"/>
        <v>0</v>
      </c>
      <c r="K82" s="2"/>
      <c r="L82" s="31"/>
      <c r="M82" s="31"/>
      <c r="N82" s="31"/>
      <c r="O82" s="31"/>
    </row>
    <row r="83" spans="1:15" x14ac:dyDescent="0.3">
      <c r="A83" s="16">
        <v>58</v>
      </c>
      <c r="B83" s="15">
        <v>46692</v>
      </c>
      <c r="C83" s="19">
        <f t="shared" si="6"/>
        <v>0</v>
      </c>
      <c r="D83" s="19">
        <f t="shared" si="7"/>
        <v>0</v>
      </c>
      <c r="E83" s="19">
        <f t="shared" si="8"/>
        <v>0</v>
      </c>
      <c r="F83" s="19">
        <f t="shared" si="9"/>
        <v>0</v>
      </c>
      <c r="G83" s="19">
        <f t="shared" si="10"/>
        <v>0</v>
      </c>
      <c r="H83" s="19" t="s">
        <v>5</v>
      </c>
      <c r="I83" s="80" t="s">
        <v>5</v>
      </c>
      <c r="J83" s="30">
        <f t="shared" si="11"/>
        <v>0</v>
      </c>
      <c r="K83" s="2"/>
      <c r="L83" s="31"/>
      <c r="M83" s="31"/>
      <c r="N83" s="31"/>
      <c r="O83" s="31"/>
    </row>
    <row r="84" spans="1:15" x14ac:dyDescent="0.3">
      <c r="A84" s="16">
        <v>59</v>
      </c>
      <c r="B84" s="15">
        <v>46722</v>
      </c>
      <c r="C84" s="19">
        <f t="shared" si="6"/>
        <v>0</v>
      </c>
      <c r="D84" s="19">
        <f t="shared" si="7"/>
        <v>0</v>
      </c>
      <c r="E84" s="19">
        <f t="shared" si="8"/>
        <v>0</v>
      </c>
      <c r="F84" s="19">
        <f t="shared" si="9"/>
        <v>0</v>
      </c>
      <c r="G84" s="19">
        <f t="shared" si="10"/>
        <v>0</v>
      </c>
      <c r="H84" s="19" t="s">
        <v>5</v>
      </c>
      <c r="I84" s="80" t="s">
        <v>5</v>
      </c>
      <c r="J84" s="30">
        <f t="shared" si="11"/>
        <v>0</v>
      </c>
      <c r="K84" s="2"/>
      <c r="L84" s="31"/>
      <c r="M84" s="31"/>
      <c r="N84" s="31"/>
      <c r="O84" s="31"/>
    </row>
    <row r="85" spans="1:15" x14ac:dyDescent="0.3">
      <c r="A85" s="16">
        <v>60</v>
      </c>
      <c r="B85" s="15">
        <v>46753</v>
      </c>
      <c r="C85" s="19">
        <f t="shared" si="6"/>
        <v>0</v>
      </c>
      <c r="D85" s="19">
        <f t="shared" si="7"/>
        <v>0</v>
      </c>
      <c r="E85" s="19">
        <f t="shared" si="8"/>
        <v>0</v>
      </c>
      <c r="F85" s="19">
        <f t="shared" si="9"/>
        <v>0</v>
      </c>
      <c r="G85" s="19">
        <f t="shared" si="10"/>
        <v>0</v>
      </c>
      <c r="H85" s="19" t="s">
        <v>5</v>
      </c>
      <c r="I85" s="80" t="s">
        <v>5</v>
      </c>
      <c r="J85" s="30">
        <f t="shared" si="11"/>
        <v>0</v>
      </c>
      <c r="K85" s="2"/>
      <c r="L85" s="31"/>
      <c r="M85" s="31"/>
      <c r="N85" s="31"/>
      <c r="O85" s="31"/>
    </row>
    <row r="86" spans="1:15" s="23" customFormat="1" x14ac:dyDescent="0.3">
      <c r="A86" s="31"/>
      <c r="B86" s="31"/>
      <c r="C86" s="34"/>
      <c r="D86" s="34">
        <f>SUM(D26:D85)</f>
        <v>187743.26</v>
      </c>
      <c r="E86" s="34">
        <f>SUM(E26:E85)</f>
        <v>94500.000000000058</v>
      </c>
      <c r="F86" s="34">
        <f>SUM(F26:F85)</f>
        <v>0.10999999999999999</v>
      </c>
      <c r="G86" s="34">
        <f>SUM(G26:G85)</f>
        <v>93243.150000000052</v>
      </c>
      <c r="H86" s="34">
        <f>SUM(H25:H85)</f>
        <v>4500</v>
      </c>
      <c r="I86" s="34">
        <f>SUM(I25:I85)</f>
        <v>0</v>
      </c>
      <c r="J86" s="34"/>
      <c r="K86" s="31"/>
      <c r="L86" s="31"/>
      <c r="M86" s="31"/>
      <c r="N86" s="31"/>
      <c r="O86" s="31"/>
    </row>
    <row r="87" spans="1:15" x14ac:dyDescent="0.3">
      <c r="A87" s="2"/>
      <c r="B87" s="2"/>
      <c r="C87" s="2"/>
      <c r="D87" s="2"/>
      <c r="E87" s="2"/>
      <c r="F87" s="2"/>
      <c r="G87" s="2"/>
      <c r="H87" s="2"/>
      <c r="I87" s="31"/>
      <c r="J87" s="2"/>
      <c r="K87" s="2"/>
      <c r="L87" s="31"/>
      <c r="M87" s="31"/>
      <c r="N87" s="31"/>
      <c r="O87" s="31"/>
    </row>
    <row r="88" spans="1:15" x14ac:dyDescent="0.3">
      <c r="A88" s="2"/>
      <c r="B88" s="2"/>
      <c r="C88" s="2"/>
      <c r="D88" s="2"/>
      <c r="E88" s="2"/>
      <c r="F88" s="2"/>
      <c r="G88" s="2"/>
      <c r="H88" s="2"/>
      <c r="I88" s="31"/>
      <c r="J88" s="2"/>
      <c r="K88" s="2"/>
      <c r="L88" s="31"/>
      <c r="M88" s="31"/>
      <c r="N88" s="31"/>
      <c r="O88" s="31"/>
    </row>
    <row r="89" spans="1:15" x14ac:dyDescent="0.3">
      <c r="A89" s="2"/>
      <c r="B89" s="2"/>
      <c r="C89" s="2"/>
      <c r="D89" s="2"/>
      <c r="E89" s="2"/>
      <c r="F89" s="2"/>
      <c r="G89" s="2"/>
      <c r="H89" s="2"/>
      <c r="I89" s="31"/>
      <c r="J89" s="2"/>
      <c r="K89" s="2"/>
      <c r="L89" s="31"/>
      <c r="M89" s="31"/>
      <c r="N89" s="31"/>
      <c r="O89" s="31"/>
    </row>
    <row r="90" spans="1:15" x14ac:dyDescent="0.3">
      <c r="A90" s="2"/>
      <c r="B90" s="2"/>
      <c r="C90" s="2"/>
      <c r="D90" s="2"/>
      <c r="E90" s="2"/>
      <c r="F90" s="2"/>
      <c r="G90" s="2"/>
      <c r="H90" s="2"/>
      <c r="I90" s="31"/>
      <c r="J90" s="2"/>
      <c r="K90" s="2"/>
      <c r="L90" s="31"/>
      <c r="M90" s="31"/>
      <c r="N90" s="31"/>
      <c r="O90" s="31"/>
    </row>
    <row r="91" spans="1:15" x14ac:dyDescent="0.3">
      <c r="A91" s="2"/>
      <c r="B91" s="2"/>
      <c r="C91" s="2"/>
      <c r="D91" s="2"/>
      <c r="E91" s="2"/>
      <c r="F91" s="2"/>
      <c r="G91" s="2"/>
      <c r="H91" s="2"/>
      <c r="I91" s="31"/>
      <c r="J91" s="2"/>
      <c r="K91" s="2"/>
      <c r="L91" s="31"/>
      <c r="M91" s="31"/>
      <c r="N91" s="31"/>
      <c r="O91" s="31"/>
    </row>
  </sheetData>
  <sheetProtection algorithmName="SHA-512" hashValue="OgOUi2tuAP72exna4IiTbSMDLeRyeA/A9e5vjPU2EB3IReLdp1xU3zjaIQMHz5b8ANBVVh4du2ul0PZO9MAZjg==" saltValue="d80fof3KwXbi/IZYEALy0A==" spinCount="100000" sheet="1" objects="1" scenarios="1"/>
  <mergeCells count="29">
    <mergeCell ref="G5:J6"/>
    <mergeCell ref="Q26:Q32"/>
    <mergeCell ref="Q33:Q38"/>
    <mergeCell ref="Q39:Q43"/>
    <mergeCell ref="A23:I23"/>
    <mergeCell ref="A8:E8"/>
    <mergeCell ref="A15:E15"/>
    <mergeCell ref="A20:E20"/>
    <mergeCell ref="A21:E21"/>
    <mergeCell ref="A22:E22"/>
    <mergeCell ref="G12:J12"/>
    <mergeCell ref="A18:F18"/>
    <mergeCell ref="A19:E19"/>
    <mergeCell ref="A17:F17"/>
    <mergeCell ref="A6:C6"/>
    <mergeCell ref="A4:E4"/>
    <mergeCell ref="A16:E16"/>
    <mergeCell ref="A1:F1"/>
    <mergeCell ref="A11:E11"/>
    <mergeCell ref="A13:D13"/>
    <mergeCell ref="A14:D14"/>
    <mergeCell ref="A10:D10"/>
    <mergeCell ref="E5:F5"/>
    <mergeCell ref="A7:E7"/>
    <mergeCell ref="A9:E9"/>
    <mergeCell ref="A12:E12"/>
    <mergeCell ref="A2:F2"/>
    <mergeCell ref="A3:F3"/>
    <mergeCell ref="A5:D5"/>
  </mergeCells>
  <conditionalFormatting sqref="F6">
    <cfRule type="colorScale" priority="3">
      <colorScale>
        <cfvo type="percent" val="&quot;10%F4&quot;"/>
        <cfvo type="max"/>
        <color rgb="FFFF7128"/>
        <color rgb="FFFFEF9C"/>
      </colorScale>
    </cfRule>
  </conditionalFormatting>
  <dataValidations count="3">
    <dataValidation type="decimal" operator="greaterThanOrEqual" allowBlank="1" showInputMessage="1" showErrorMessage="1" errorTitle="Обмеження по мінімальній сумі" error="МІнімальна вартість послуги (товару) для оформлення кредиту складає 3000_x000a_ грн" sqref="E5:F5">
      <formula1>3000</formula1>
    </dataValidation>
    <dataValidation operator="greaterThanOrEqual" allowBlank="1" showInputMessage="1" showErrorMessage="1" sqref="F6"/>
    <dataValidation type="decimal" errorStyle="warning" operator="lessThanOrEqual" allowBlank="1" showErrorMessage="1" errorTitle="Обмеження по сумі" error="Потрібен більший первинний внесок" promptTitle="Обмеження максимальної суми" prompt="Потрібен більший первинний внесок" sqref="F12">
      <formula1>500000</formula1>
    </dataValidation>
  </dataValidations>
  <pageMargins left="0.7" right="0.7" top="0.75" bottom="0.75" header="0.3" footer="0.3"/>
  <pageSetup paperSize="9" scale="70" orientation="portrait" r:id="rId1"/>
  <headerFooter>
    <oddHeader>&amp;L&amp;G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аркуш!$B$3:$B$7</xm:f>
          </x14:formula1>
          <xm:sqref>F8</xm:sqref>
        </x14:dataValidation>
        <x14:dataValidation type="list" allowBlank="1" showInputMessage="1" showErrorMessage="1">
          <x14:formula1>
            <xm:f>аркуш!$A$3:$A$5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XFD1048576"/>
    </sheetView>
  </sheetViews>
  <sheetFormatPr defaultColWidth="8.88671875" defaultRowHeight="14.4" x14ac:dyDescent="0.3"/>
  <cols>
    <col min="1" max="2" width="8.88671875" style="23"/>
    <col min="3" max="3" width="18.109375" style="23" customWidth="1"/>
    <col min="4" max="4" width="8.88671875" style="23"/>
    <col min="5" max="5" width="12.33203125" style="23" customWidth="1"/>
    <col min="6" max="16384" width="8.88671875" style="23"/>
  </cols>
  <sheetData>
    <row r="1" spans="1:7" x14ac:dyDescent="0.3">
      <c r="C1" s="23" t="s">
        <v>32</v>
      </c>
      <c r="E1" s="64"/>
      <c r="F1" s="64"/>
    </row>
    <row r="2" spans="1:7" x14ac:dyDescent="0.3">
      <c r="A2" s="23" t="s">
        <v>36</v>
      </c>
      <c r="B2" s="23" t="s">
        <v>31</v>
      </c>
      <c r="C2" s="35">
        <v>3</v>
      </c>
    </row>
    <row r="3" spans="1:7" x14ac:dyDescent="0.3">
      <c r="A3" s="23">
        <v>1</v>
      </c>
      <c r="B3" s="23">
        <v>12</v>
      </c>
      <c r="C3" s="23">
        <v>6</v>
      </c>
      <c r="E3" s="64" t="s">
        <v>24</v>
      </c>
      <c r="F3" s="64"/>
      <c r="G3" s="26"/>
    </row>
    <row r="4" spans="1:7" x14ac:dyDescent="0.3">
      <c r="A4" s="23">
        <v>2</v>
      </c>
      <c r="B4" s="23">
        <v>24</v>
      </c>
      <c r="E4" s="23">
        <v>3</v>
      </c>
      <c r="F4" s="23">
        <v>6</v>
      </c>
    </row>
    <row r="5" spans="1:7" x14ac:dyDescent="0.3">
      <c r="A5" s="23">
        <v>3</v>
      </c>
      <c r="B5" s="23">
        <v>36</v>
      </c>
      <c r="D5" s="23">
        <v>12</v>
      </c>
      <c r="E5" s="26">
        <v>0.105791</v>
      </c>
      <c r="F5" s="26">
        <v>9.9339899999999995E-2</v>
      </c>
    </row>
    <row r="6" spans="1:7" x14ac:dyDescent="0.3">
      <c r="B6" s="23">
        <v>48</v>
      </c>
      <c r="D6" s="23">
        <v>24</v>
      </c>
      <c r="E6" s="26">
        <v>6.7829899999999999E-2</v>
      </c>
      <c r="F6" s="26">
        <v>6.5669000000000005E-2</v>
      </c>
    </row>
    <row r="7" spans="1:7" x14ac:dyDescent="0.3">
      <c r="B7" s="23">
        <v>60</v>
      </c>
      <c r="D7" s="23">
        <v>36</v>
      </c>
      <c r="E7" s="26">
        <v>5.52121E-2</v>
      </c>
      <c r="F7" s="26">
        <v>5.4445E-2</v>
      </c>
    </row>
    <row r="8" spans="1:7" x14ac:dyDescent="0.3">
      <c r="D8" s="23">
        <v>48</v>
      </c>
      <c r="E8" s="26">
        <v>4.8868000000000002E-2</v>
      </c>
      <c r="F8" s="26">
        <v>4.8835999999999997E-2</v>
      </c>
    </row>
    <row r="9" spans="1:7" x14ac:dyDescent="0.3">
      <c r="D9" s="23">
        <v>60</v>
      </c>
      <c r="E9" s="26">
        <v>4.5079000000000001E-2</v>
      </c>
      <c r="F9" s="26">
        <v>4.5469000000000002E-2</v>
      </c>
    </row>
  </sheetData>
  <sheetProtection algorithmName="SHA-512" hashValue="nAzChOyztxpJF1Zw+Cnveleo9tQLRG/yYZ+sD7aSzYr7XcIw1aN8FmTMAdvltS3PWBdj5RuUTGBAPZW9X7VbLg==" saltValue="Y3njCjapVSnu6ogrmAepng==" spinCount="100000" sheet="1" selectLockedCells="1" selectUnlockedCells="1"/>
  <mergeCells count="2">
    <mergeCell ref="E1:F1"/>
    <mergeCell ref="E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Аркуш1</vt:lpstr>
      <vt:lpstr>аркуш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Макеева Наталия Валериевна</dc:creator>
  <cp:lastModifiedBy>Макєєва Наталія Валеріївна</cp:lastModifiedBy>
  <cp:lastPrinted>2023-03-22T11:42:59Z</cp:lastPrinted>
  <dcterms:created xsi:type="dcterms:W3CDTF">2023-03-22T07:49:18Z</dcterms:created>
  <dcterms:modified xsi:type="dcterms:W3CDTF">2026-04-03T12:46:23Z</dcterms:modified>
</cp:coreProperties>
</file>