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\Макеева\протоколы на комитеты\Фокстрот\сайт\"/>
    </mc:Choice>
  </mc:AlternateContent>
  <bookViews>
    <workbookView xWindow="0" yWindow="0" windowWidth="23040" windowHeight="8616"/>
  </bookViews>
  <sheets>
    <sheet name="Аркуш1" sheetId="1" r:id="rId1"/>
    <sheet name="Аркуш2" sheetId="2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5" i="1" l="1"/>
  <c r="M5" i="1"/>
  <c r="N4" i="1"/>
  <c r="R8" i="1" s="1"/>
  <c r="P9" i="1" s="1"/>
  <c r="F6" i="1" s="1"/>
  <c r="M4" i="1"/>
  <c r="R6" i="1" s="1"/>
  <c r="I24" i="1" l="1"/>
  <c r="I37" i="1"/>
  <c r="I49" i="1"/>
  <c r="F15" i="1" l="1"/>
  <c r="E6" i="1" l="1"/>
  <c r="F7" i="1" l="1"/>
  <c r="F10" i="1" l="1"/>
  <c r="H24" i="1" s="1"/>
  <c r="H49" i="1" s="1"/>
  <c r="F11" i="1" l="1"/>
  <c r="G26" i="1" l="1"/>
  <c r="G27" i="1"/>
  <c r="G25" i="1"/>
  <c r="G28" i="1"/>
  <c r="G30" i="1"/>
  <c r="G29" i="1"/>
  <c r="G48" i="1"/>
  <c r="G37" i="1"/>
  <c r="G46" i="1"/>
  <c r="G38" i="1"/>
  <c r="F13" i="1"/>
  <c r="G41" i="1"/>
  <c r="G44" i="1"/>
  <c r="G35" i="1"/>
  <c r="G45" i="1"/>
  <c r="G39" i="1"/>
  <c r="G31" i="1"/>
  <c r="C24" i="1"/>
  <c r="G42" i="1"/>
  <c r="G32" i="1"/>
  <c r="G33" i="1"/>
  <c r="G40" i="1"/>
  <c r="G34" i="1"/>
  <c r="G47" i="1"/>
  <c r="G36" i="1"/>
  <c r="G43" i="1"/>
  <c r="F25" i="1" l="1"/>
  <c r="D24" i="1"/>
  <c r="E24" i="1" s="1"/>
  <c r="J24" i="1" s="1"/>
  <c r="G49" i="1"/>
  <c r="E25" i="1" l="1"/>
  <c r="D25" i="1" l="1"/>
  <c r="F18" i="1" s="1"/>
  <c r="J25" i="1"/>
  <c r="C25" i="1"/>
  <c r="F26" i="1" l="1"/>
  <c r="E26" i="1" l="1"/>
  <c r="J26" i="1" l="1"/>
  <c r="D26" i="1"/>
  <c r="C26" i="1"/>
  <c r="F27" i="1" l="1"/>
  <c r="E27" i="1" l="1"/>
  <c r="J27" i="1" l="1"/>
  <c r="D27" i="1"/>
  <c r="C27" i="1"/>
  <c r="F28" i="1" l="1"/>
  <c r="E28" i="1" l="1"/>
  <c r="D28" i="1" l="1"/>
  <c r="J28" i="1"/>
  <c r="C28" i="1"/>
  <c r="F29" i="1" l="1"/>
  <c r="E29" i="1" l="1"/>
  <c r="D29" i="1" l="1"/>
  <c r="J29" i="1"/>
  <c r="C29" i="1"/>
  <c r="F30" i="1" l="1"/>
  <c r="E30" i="1" s="1"/>
  <c r="C30" i="1" s="1"/>
  <c r="F31" i="1" l="1"/>
  <c r="E31" i="1" s="1"/>
  <c r="C31" i="1" s="1"/>
  <c r="D30" i="1"/>
  <c r="J30" i="1"/>
  <c r="F32" i="1" l="1"/>
  <c r="E32" i="1" s="1"/>
  <c r="J31" i="1"/>
  <c r="D31" i="1"/>
  <c r="J32" i="1" l="1"/>
  <c r="D32" i="1"/>
  <c r="C32" i="1"/>
  <c r="F33" i="1" l="1"/>
  <c r="E33" i="1" s="1"/>
  <c r="J33" i="1" l="1"/>
  <c r="D33" i="1"/>
  <c r="C33" i="1"/>
  <c r="F34" i="1" l="1"/>
  <c r="E34" i="1" s="1"/>
  <c r="C34" i="1" s="1"/>
  <c r="F35" i="1" l="1"/>
  <c r="E35" i="1" s="1"/>
  <c r="C35" i="1" s="1"/>
  <c r="J34" i="1"/>
  <c r="D34" i="1"/>
  <c r="F36" i="1" l="1"/>
  <c r="E36" i="1" s="1"/>
  <c r="C36" i="1" s="1"/>
  <c r="D35" i="1"/>
  <c r="J35" i="1"/>
  <c r="F37" i="1" l="1"/>
  <c r="E37" i="1" s="1"/>
  <c r="C37" i="1" s="1"/>
  <c r="J36" i="1"/>
  <c r="D36" i="1"/>
  <c r="F38" i="1" l="1"/>
  <c r="E38" i="1" s="1"/>
  <c r="J37" i="1"/>
  <c r="D37" i="1"/>
  <c r="J38" i="1" l="1"/>
  <c r="D38" i="1"/>
  <c r="C38" i="1"/>
  <c r="F39" i="1" l="1"/>
  <c r="E39" i="1" s="1"/>
  <c r="C39" i="1" s="1"/>
  <c r="F40" i="1" l="1"/>
  <c r="E40" i="1" s="1"/>
  <c r="D39" i="1"/>
  <c r="J39" i="1"/>
  <c r="J40" i="1" l="1"/>
  <c r="D40" i="1"/>
  <c r="C40" i="1"/>
  <c r="F41" i="1" l="1"/>
  <c r="E41" i="1" s="1"/>
  <c r="C41" i="1" s="1"/>
  <c r="F42" i="1" l="1"/>
  <c r="E42" i="1" s="1"/>
  <c r="J41" i="1"/>
  <c r="D41" i="1"/>
  <c r="D42" i="1" l="1"/>
  <c r="J42" i="1"/>
  <c r="C42" i="1"/>
  <c r="F43" i="1" l="1"/>
  <c r="E43" i="1" s="1"/>
  <c r="D43" i="1" l="1"/>
  <c r="J43" i="1"/>
  <c r="C43" i="1"/>
  <c r="F44" i="1" l="1"/>
  <c r="E44" i="1" s="1"/>
  <c r="C44" i="1" s="1"/>
  <c r="F45" i="1" l="1"/>
  <c r="E45" i="1" s="1"/>
  <c r="D44" i="1"/>
  <c r="J44" i="1"/>
  <c r="J45" i="1" l="1"/>
  <c r="D45" i="1"/>
  <c r="C45" i="1"/>
  <c r="F46" i="1" l="1"/>
  <c r="E46" i="1" s="1"/>
  <c r="C46" i="1" s="1"/>
  <c r="F47" i="1" l="1"/>
  <c r="E47" i="1" s="1"/>
  <c r="J46" i="1"/>
  <c r="D46" i="1"/>
  <c r="J47" i="1" l="1"/>
  <c r="D47" i="1"/>
  <c r="C47" i="1"/>
  <c r="F48" i="1" l="1"/>
  <c r="F49" i="1" s="1"/>
  <c r="F19" i="1" s="1"/>
  <c r="F20" i="1" s="1"/>
  <c r="E48" i="1" l="1"/>
  <c r="J48" i="1" s="1"/>
  <c r="F21" i="1" s="1"/>
  <c r="C48" i="1" l="1"/>
  <c r="E49" i="1"/>
  <c r="D48" i="1"/>
</calcChain>
</file>

<file path=xl/sharedStrings.xml><?xml version="1.0" encoding="utf-8"?>
<sst xmlns="http://schemas.openxmlformats.org/spreadsheetml/2006/main" count="88" uniqueCount="39">
  <si>
    <t>*Приклад розрахунку носить виключно інформаційний характер.</t>
  </si>
  <si>
    <t>Сума кредиту для оплати вартості товарів та послуг, що купуються в мережі магазинів "ФОКСТРОТ"</t>
  </si>
  <si>
    <t>Пільговий період</t>
  </si>
  <si>
    <t>Періодична комісія після спливу пільгового періоду</t>
  </si>
  <si>
    <t>Строк кредиту, міс</t>
  </si>
  <si>
    <t>Пільговий період, міс</t>
  </si>
  <si>
    <t>Сума одноразової комісії за надання кредиту, грн</t>
  </si>
  <si>
    <t>Вартість товарів та послуг, грн</t>
  </si>
  <si>
    <t>Загальна сума кредиту, грн</t>
  </si>
  <si>
    <t>Первинний внесок</t>
  </si>
  <si>
    <t>ПЛТ</t>
  </si>
  <si>
    <t>Строк</t>
  </si>
  <si>
    <t>ПП</t>
  </si>
  <si>
    <t>грос</t>
  </si>
  <si>
    <t xml:space="preserve">нет </t>
  </si>
  <si>
    <t>РЕЗУЛЬТАТ РОЗРАХУНКУ*</t>
  </si>
  <si>
    <t>*Орієнтовно на дату розрахунку, конкретні умови кредитування будуть вказані в паспорті споживчого кредиту в день оформлення кредитної заявки, та можуть відрізнятись в залежності від обраного товару та магазину.</t>
  </si>
  <si>
    <t xml:space="preserve">Сума щомісячного платежу, грн </t>
  </si>
  <si>
    <t>Загальні витрати за кредитом, грн</t>
  </si>
  <si>
    <t>Орієнтовна загальна вартість кредиту, грн</t>
  </si>
  <si>
    <t>Реальна процентна ставка</t>
  </si>
  <si>
    <t>№ п/п</t>
  </si>
  <si>
    <t>Дата платежу</t>
  </si>
  <si>
    <t>Сума боргу, грн</t>
  </si>
  <si>
    <t>Сума платежу за розрахунковий період, грн</t>
  </si>
  <si>
    <t>Сума погашення тіла кредиту, грн</t>
  </si>
  <si>
    <t>Проценти за користування кредитом, грн</t>
  </si>
  <si>
    <t>Комісія за надання кредиту, грн</t>
  </si>
  <si>
    <t>Послуги страховика, грн</t>
  </si>
  <si>
    <t>Грошові потоки клієнта</t>
  </si>
  <si>
    <t>-</t>
  </si>
  <si>
    <t>Періодична комісія, грн</t>
  </si>
  <si>
    <t>6 міс</t>
  </si>
  <si>
    <t>10 міс</t>
  </si>
  <si>
    <t>сума нет</t>
  </si>
  <si>
    <t>Для отримання розрахунку необхідно заповнити (обрати значення) комірки, 
що позначені сірим кольором.</t>
  </si>
  <si>
    <t>Процента ставка, річних</t>
  </si>
  <si>
    <t>Періодична комісія в пільговий період</t>
  </si>
  <si>
    <t xml:space="preserve">КАЛЬКУЛЯТОР РОЗРАХУНКУ ЗАГАЛЬНОЇ ВАРТОСТІ КРЕДИТУ
за банквіським продуктом 
"Споживчий кредит на купівлю товарів та послуг 
в мережі магазинів «ФОКСТРОТ» 
в АТ «БАНК КРЕДИТ ДНІПРО»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</si>
</sst>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&quot;₴&quot;_-;\-* #,##0.00&quot;₴&quot;_-;_-* &quot;-&quot;??&quot;₴&quot;_-;_-@_-"/>
    <numFmt numFmtId="164" formatCode="#,##0.00&quot;₴&quot;"/>
  </numFmts>
  <fonts count="7" x14ac:knownFonts="1">
    <font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i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 applyFill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right" vertical="center" wrapText="1"/>
      <protection hidden="1"/>
    </xf>
    <xf numFmtId="14" fontId="4" fillId="0" borderId="1" xfId="0" applyNumberFormat="1" applyFont="1" applyBorder="1" applyAlignment="1" applyProtection="1">
      <alignment horizontal="center" vertical="center" wrapText="1"/>
      <protection hidden="1"/>
    </xf>
    <xf numFmtId="2" fontId="4" fillId="0" borderId="1" xfId="0" applyNumberFormat="1" applyFont="1" applyBorder="1" applyAlignment="1" applyProtection="1">
      <alignment horizontal="center" wrapText="1"/>
      <protection hidden="1"/>
    </xf>
    <xf numFmtId="0" fontId="4" fillId="0" borderId="1" xfId="0" applyFont="1" applyBorder="1" applyProtection="1">
      <protection hidden="1"/>
    </xf>
    <xf numFmtId="2" fontId="4" fillId="0" borderId="1" xfId="0" applyNumberFormat="1" applyFont="1" applyBorder="1" applyAlignment="1" applyProtection="1">
      <alignment horizontal="center"/>
      <protection hidden="1"/>
    </xf>
    <xf numFmtId="0" fontId="5" fillId="0" borderId="0" xfId="0" applyFont="1"/>
    <xf numFmtId="10" fontId="5" fillId="0" borderId="15" xfId="0" applyNumberFormat="1" applyFont="1" applyBorder="1" applyAlignment="1"/>
    <xf numFmtId="0" fontId="5" fillId="0" borderId="0" xfId="0" applyFont="1" applyProtection="1">
      <protection hidden="1"/>
    </xf>
    <xf numFmtId="2" fontId="5" fillId="0" borderId="0" xfId="0" applyNumberFormat="1" applyFont="1" applyProtection="1">
      <protection hidden="1"/>
    </xf>
    <xf numFmtId="44" fontId="1" fillId="0" borderId="5" xfId="0" applyNumberFormat="1" applyFont="1" applyBorder="1" applyAlignment="1">
      <alignment horizontal="center"/>
    </xf>
    <xf numFmtId="44" fontId="1" fillId="0" borderId="7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right"/>
    </xf>
    <xf numFmtId="10" fontId="1" fillId="0" borderId="10" xfId="0" applyNumberFormat="1" applyFont="1" applyBorder="1" applyAlignment="1">
      <alignment horizontal="right"/>
    </xf>
    <xf numFmtId="164" fontId="4" fillId="3" borderId="14" xfId="0" applyNumberFormat="1" applyFont="1" applyFill="1" applyBorder="1" applyProtection="1">
      <protection locked="0" hidden="1"/>
    </xf>
    <xf numFmtId="0" fontId="1" fillId="0" borderId="0" xfId="0" applyFont="1" applyBorder="1" applyAlignment="1">
      <alignment horizontal="right"/>
    </xf>
    <xf numFmtId="0" fontId="1" fillId="0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12" xfId="0" applyFont="1" applyBorder="1" applyAlignment="1">
      <alignment horizontal="left"/>
    </xf>
    <xf numFmtId="164" fontId="4" fillId="3" borderId="13" xfId="0" applyNumberFormat="1" applyFont="1" applyFill="1" applyBorder="1" applyProtection="1">
      <protection locked="0" hidden="1"/>
    </xf>
    <xf numFmtId="0" fontId="4" fillId="0" borderId="6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6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4" fillId="0" borderId="11" xfId="0" applyFont="1" applyBorder="1" applyAlignment="1">
      <alignment wrapText="1"/>
    </xf>
    <xf numFmtId="164" fontId="4" fillId="0" borderId="14" xfId="0" applyNumberFormat="1" applyFont="1" applyBorder="1"/>
    <xf numFmtId="0" fontId="1" fillId="0" borderId="6" xfId="0" applyFont="1" applyBorder="1" applyAlignment="1"/>
    <xf numFmtId="0" fontId="1" fillId="0" borderId="0" xfId="0" applyFont="1" applyBorder="1" applyAlignment="1"/>
    <xf numFmtId="0" fontId="1" fillId="0" borderId="11" xfId="0" applyFont="1" applyBorder="1" applyAlignment="1"/>
    <xf numFmtId="0" fontId="1" fillId="0" borderId="14" xfId="0" applyFont="1" applyFill="1" applyBorder="1" applyProtection="1"/>
    <xf numFmtId="0" fontId="1" fillId="3" borderId="14" xfId="0" applyFont="1" applyFill="1" applyBorder="1" applyProtection="1">
      <protection locked="0" hidden="1"/>
    </xf>
    <xf numFmtId="0" fontId="4" fillId="0" borderId="6" xfId="0" applyFont="1" applyBorder="1" applyAlignment="1"/>
    <xf numFmtId="0" fontId="4" fillId="0" borderId="0" xfId="0" applyFont="1" applyBorder="1" applyAlignment="1"/>
    <xf numFmtId="0" fontId="4" fillId="0" borderId="11" xfId="0" applyFont="1" applyBorder="1" applyAlignment="1"/>
    <xf numFmtId="2" fontId="4" fillId="0" borderId="14" xfId="0" applyNumberFormat="1" applyFont="1" applyBorder="1"/>
    <xf numFmtId="164" fontId="1" fillId="0" borderId="14" xfId="0" applyNumberFormat="1" applyFont="1" applyBorder="1"/>
    <xf numFmtId="0" fontId="4" fillId="0" borderId="6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9" fontId="4" fillId="0" borderId="1" xfId="0" applyNumberFormat="1" applyFont="1" applyBorder="1" applyAlignment="1">
      <alignment horizontal="center"/>
    </xf>
    <xf numFmtId="0" fontId="1" fillId="0" borderId="6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10" fontId="1" fillId="0" borderId="1" xfId="0" applyNumberFormat="1" applyFont="1" applyBorder="1" applyAlignment="1">
      <alignment horizontal="center"/>
    </xf>
    <xf numFmtId="0" fontId="1" fillId="0" borderId="6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10" fontId="1" fillId="0" borderId="14" xfId="0" applyNumberFormat="1" applyFont="1" applyBorder="1"/>
    <xf numFmtId="9" fontId="5" fillId="0" borderId="0" xfId="0" applyNumberFormat="1" applyFont="1" applyFill="1" applyBorder="1" applyAlignment="1"/>
    <xf numFmtId="10" fontId="4" fillId="0" borderId="2" xfId="0" applyNumberFormat="1" applyFont="1" applyFill="1" applyBorder="1" applyAlignment="1">
      <alignment horizontal="center"/>
    </xf>
    <xf numFmtId="0" fontId="5" fillId="0" borderId="0" xfId="0" applyFont="1" applyFill="1" applyBorder="1"/>
    <xf numFmtId="2" fontId="5" fillId="0" borderId="0" xfId="0" applyNumberFormat="1" applyFont="1" applyFill="1" applyBorder="1"/>
    <xf numFmtId="0" fontId="5" fillId="0" borderId="0" xfId="0" applyFont="1" applyFill="1"/>
    <xf numFmtId="10" fontId="5" fillId="0" borderId="0" xfId="0" applyNumberFormat="1" applyFont="1" applyFill="1" applyBorder="1"/>
    <xf numFmtId="2" fontId="5" fillId="0" borderId="0" xfId="0" applyNumberFormat="1" applyFont="1" applyFill="1" applyBorder="1" applyAlignment="1"/>
    <xf numFmtId="0" fontId="6" fillId="0" borderId="0" xfId="0" applyFont="1" applyFill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2" fontId="5" fillId="0" borderId="1" xfId="0" applyNumberFormat="1" applyFont="1" applyBorder="1" applyAlignment="1" applyProtection="1">
      <alignment horizontal="center" wrapText="1"/>
      <protection hidden="1"/>
    </xf>
    <xf numFmtId="2" fontId="5" fillId="0" borderId="1" xfId="0" applyNumberFormat="1" applyFont="1" applyBorder="1" applyAlignment="1" applyProtection="1">
      <alignment horizontal="center"/>
      <protection hidden="1"/>
    </xf>
    <xf numFmtId="0" fontId="5" fillId="0" borderId="0" xfId="0" applyFont="1" applyFill="1" applyBorder="1" applyAlignment="1">
      <alignment wrapText="1"/>
    </xf>
    <xf numFmtId="2" fontId="5" fillId="0" borderId="0" xfId="0" applyNumberFormat="1" applyFont="1" applyFill="1" applyBorder="1" applyAlignment="1" applyProtection="1">
      <alignment wrapText="1"/>
      <protection hidden="1"/>
    </xf>
    <xf numFmtId="0" fontId="5" fillId="0" borderId="0" xfId="0" applyFont="1" applyFill="1" applyProtection="1">
      <protection hidden="1"/>
    </xf>
    <xf numFmtId="0" fontId="2" fillId="2" borderId="0" xfId="0" applyFont="1" applyFill="1" applyAlignment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1"/>
  <sheetViews>
    <sheetView tabSelected="1" workbookViewId="0">
      <selection activeCell="F9" sqref="F9"/>
    </sheetView>
  </sheetViews>
  <sheetFormatPr defaultRowHeight="14.4" x14ac:dyDescent="0.3"/>
  <cols>
    <col min="1" max="1" width="5.44140625" style="24" customWidth="1"/>
    <col min="2" max="2" width="13" style="24" customWidth="1"/>
    <col min="3" max="3" width="12.33203125" style="24" customWidth="1"/>
    <col min="4" max="4" width="15.5546875" style="24" customWidth="1"/>
    <col min="5" max="5" width="16.109375" style="24" customWidth="1"/>
    <col min="6" max="6" width="17.88671875" style="24" customWidth="1"/>
    <col min="7" max="7" width="12" style="24" customWidth="1"/>
    <col min="8" max="8" width="11.5546875" style="24" customWidth="1"/>
    <col min="9" max="9" width="24.44140625" style="8" hidden="1" customWidth="1"/>
    <col min="10" max="10" width="14.33203125" style="8" customWidth="1"/>
    <col min="11" max="11" width="9" style="24" bestFit="1" customWidth="1"/>
    <col min="12" max="14" width="9.5546875" style="24" bestFit="1" customWidth="1"/>
    <col min="15" max="15" width="8.88671875" style="24"/>
    <col min="16" max="16" width="9.5546875" style="24" bestFit="1" customWidth="1"/>
    <col min="17" max="17" width="8.88671875" style="24"/>
    <col min="18" max="18" width="9.5546875" style="24" bestFit="1" customWidth="1"/>
    <col min="19" max="16384" width="8.88671875" style="24"/>
  </cols>
  <sheetData>
    <row r="1" spans="1:19" ht="93.6" customHeight="1" x14ac:dyDescent="0.3">
      <c r="A1" s="72" t="s">
        <v>38</v>
      </c>
      <c r="B1" s="19"/>
      <c r="C1" s="19"/>
      <c r="D1" s="19"/>
      <c r="E1" s="19"/>
      <c r="F1" s="19"/>
      <c r="G1" s="1"/>
      <c r="H1" s="1"/>
      <c r="I1" s="65"/>
    </row>
    <row r="2" spans="1:19" ht="27.6" customHeight="1" x14ac:dyDescent="0.3">
      <c r="A2" s="18" t="s">
        <v>35</v>
      </c>
      <c r="B2" s="18"/>
      <c r="C2" s="18"/>
      <c r="D2" s="18"/>
      <c r="E2" s="18"/>
      <c r="F2" s="18"/>
      <c r="G2" s="1"/>
      <c r="H2" s="1"/>
      <c r="I2" s="65"/>
      <c r="J2" s="60" t="s">
        <v>13</v>
      </c>
      <c r="K2" s="61">
        <v>3000</v>
      </c>
      <c r="L2" s="61">
        <v>200000</v>
      </c>
      <c r="M2" s="61"/>
      <c r="N2" s="61"/>
      <c r="O2" s="60"/>
      <c r="P2" s="60"/>
      <c r="Q2" s="60"/>
      <c r="R2" s="60"/>
      <c r="S2" s="62"/>
    </row>
    <row r="3" spans="1:19" x14ac:dyDescent="0.3">
      <c r="A3" s="25" t="s">
        <v>0</v>
      </c>
      <c r="B3" s="25"/>
      <c r="C3" s="25"/>
      <c r="D3" s="25"/>
      <c r="E3" s="25"/>
      <c r="F3" s="25"/>
      <c r="G3" s="1"/>
      <c r="H3" s="1"/>
      <c r="I3" s="65"/>
      <c r="J3" s="60"/>
      <c r="K3" s="61"/>
      <c r="L3" s="61"/>
      <c r="M3" s="61" t="s">
        <v>32</v>
      </c>
      <c r="N3" s="61" t="s">
        <v>33</v>
      </c>
      <c r="O3" s="60"/>
      <c r="P3" s="60" t="s">
        <v>11</v>
      </c>
      <c r="Q3" s="60" t="s">
        <v>12</v>
      </c>
      <c r="R3" s="60" t="s">
        <v>34</v>
      </c>
      <c r="S3" s="62"/>
    </row>
    <row r="4" spans="1:19" ht="15" thickBot="1" x14ac:dyDescent="0.35">
      <c r="A4" s="25"/>
      <c r="B4" s="25"/>
      <c r="C4" s="25"/>
      <c r="D4" s="25"/>
      <c r="E4" s="25"/>
      <c r="F4" s="25"/>
      <c r="G4" s="1"/>
      <c r="H4" s="1"/>
      <c r="I4" s="65"/>
      <c r="J4" s="60" t="s">
        <v>14</v>
      </c>
      <c r="K4" s="61">
        <v>2500</v>
      </c>
      <c r="L4" s="61">
        <v>199500</v>
      </c>
      <c r="M4" s="61">
        <f>L2/(1+6/100)</f>
        <v>188679.24528301886</v>
      </c>
      <c r="N4" s="61">
        <f>L2/(1+7/100)</f>
        <v>186915.88785046729</v>
      </c>
      <c r="O4" s="60"/>
      <c r="P4" s="60">
        <v>24</v>
      </c>
      <c r="Q4" s="60">
        <v>3</v>
      </c>
      <c r="R4" s="60">
        <v>199500</v>
      </c>
      <c r="S4" s="62"/>
    </row>
    <row r="5" spans="1:19" x14ac:dyDescent="0.3">
      <c r="A5" s="26" t="s">
        <v>7</v>
      </c>
      <c r="B5" s="27"/>
      <c r="C5" s="27"/>
      <c r="D5" s="27"/>
      <c r="E5" s="28"/>
      <c r="F5" s="29">
        <v>24999</v>
      </c>
      <c r="G5" s="1"/>
      <c r="H5" s="1"/>
      <c r="I5" s="65"/>
      <c r="J5" s="60"/>
      <c r="K5" s="61"/>
      <c r="L5" s="61"/>
      <c r="M5" s="61">
        <f>K2/(1+6/100)</f>
        <v>2830.1886792452829</v>
      </c>
      <c r="N5" s="61">
        <f>K2/(1+7/100)</f>
        <v>2803.7383177570091</v>
      </c>
      <c r="O5" s="60"/>
      <c r="P5" s="60">
        <v>24</v>
      </c>
      <c r="Q5" s="60">
        <v>5</v>
      </c>
      <c r="R5" s="60">
        <v>199500</v>
      </c>
      <c r="S5" s="62"/>
    </row>
    <row r="6" spans="1:19" x14ac:dyDescent="0.3">
      <c r="A6" s="30" t="s">
        <v>9</v>
      </c>
      <c r="B6" s="31"/>
      <c r="C6" s="31"/>
      <c r="D6" s="58">
        <v>0</v>
      </c>
      <c r="E6" s="59">
        <f>F6/F5</f>
        <v>0</v>
      </c>
      <c r="F6" s="16">
        <f>IF(F5&gt;=P9,((F5*(F5-P9)/F5)),F5*D6)</f>
        <v>0</v>
      </c>
      <c r="G6" s="1"/>
      <c r="H6" s="1"/>
      <c r="I6" s="65"/>
      <c r="J6" s="60"/>
      <c r="K6" s="60"/>
      <c r="L6" s="60"/>
      <c r="M6" s="60"/>
      <c r="N6" s="60"/>
      <c r="O6" s="60"/>
      <c r="P6" s="60">
        <v>24</v>
      </c>
      <c r="Q6" s="60">
        <v>6</v>
      </c>
      <c r="R6" s="61">
        <f>M4</f>
        <v>188679.24528301886</v>
      </c>
      <c r="S6" s="62"/>
    </row>
    <row r="7" spans="1:19" ht="27.6" customHeight="1" x14ac:dyDescent="0.3">
      <c r="A7" s="32" t="s">
        <v>1</v>
      </c>
      <c r="B7" s="33"/>
      <c r="C7" s="33"/>
      <c r="D7" s="33"/>
      <c r="E7" s="34"/>
      <c r="F7" s="35">
        <f>F5-F6</f>
        <v>24999</v>
      </c>
      <c r="G7" s="1"/>
      <c r="H7" s="1"/>
      <c r="I7" s="65"/>
      <c r="J7" s="60"/>
      <c r="K7" s="60"/>
      <c r="L7" s="60"/>
      <c r="M7" s="60"/>
      <c r="N7" s="60"/>
      <c r="O7" s="60"/>
      <c r="P7" s="60">
        <v>24</v>
      </c>
      <c r="Q7" s="60">
        <v>9</v>
      </c>
      <c r="R7" s="60">
        <v>199500</v>
      </c>
      <c r="S7" s="62"/>
    </row>
    <row r="8" spans="1:19" x14ac:dyDescent="0.3">
      <c r="A8" s="36" t="s">
        <v>4</v>
      </c>
      <c r="B8" s="37"/>
      <c r="C8" s="37"/>
      <c r="D8" s="37"/>
      <c r="E8" s="38"/>
      <c r="F8" s="39">
        <v>24</v>
      </c>
      <c r="G8" s="1"/>
      <c r="H8" s="1"/>
      <c r="I8" s="65"/>
      <c r="J8" s="60"/>
      <c r="K8" s="60" t="s">
        <v>11</v>
      </c>
      <c r="L8" s="60" t="s">
        <v>12</v>
      </c>
      <c r="M8" s="60" t="s">
        <v>10</v>
      </c>
      <c r="N8" s="60"/>
      <c r="O8" s="60"/>
      <c r="P8" s="60">
        <v>24</v>
      </c>
      <c r="Q8" s="60">
        <v>10</v>
      </c>
      <c r="R8" s="61">
        <f>N4</f>
        <v>186915.88785046729</v>
      </c>
      <c r="S8" s="62"/>
    </row>
    <row r="9" spans="1:19" x14ac:dyDescent="0.3">
      <c r="A9" s="36" t="s">
        <v>5</v>
      </c>
      <c r="B9" s="37"/>
      <c r="C9" s="37"/>
      <c r="D9" s="37"/>
      <c r="E9" s="38"/>
      <c r="F9" s="40">
        <v>9</v>
      </c>
      <c r="G9" s="1"/>
      <c r="H9" s="1"/>
      <c r="I9" s="65"/>
      <c r="J9" s="60"/>
      <c r="K9" s="60">
        <v>24</v>
      </c>
      <c r="L9" s="60">
        <v>3</v>
      </c>
      <c r="M9" s="63">
        <v>7.2309999999999999E-2</v>
      </c>
      <c r="N9" s="60"/>
      <c r="O9" s="60"/>
      <c r="P9" s="64">
        <f>SUMIFS(R4:R8,P4:P8,F8,Q4:Q8,F9)</f>
        <v>199500</v>
      </c>
      <c r="Q9" s="60"/>
      <c r="R9" s="60"/>
      <c r="S9" s="62"/>
    </row>
    <row r="10" spans="1:19" x14ac:dyDescent="0.3">
      <c r="A10" s="41" t="s">
        <v>6</v>
      </c>
      <c r="B10" s="42"/>
      <c r="C10" s="42"/>
      <c r="D10" s="42"/>
      <c r="E10" s="43"/>
      <c r="F10" s="44">
        <f>IF(F9=6,6%*F7,IF(F9=10,7%*F7,500))</f>
        <v>500</v>
      </c>
      <c r="G10" s="1"/>
      <c r="H10" s="1"/>
      <c r="I10" s="65"/>
      <c r="J10" s="60"/>
      <c r="K10" s="60">
        <v>24</v>
      </c>
      <c r="L10" s="60">
        <v>5</v>
      </c>
      <c r="M10" s="63">
        <v>6.9400000000000003E-2</v>
      </c>
      <c r="N10" s="60"/>
      <c r="O10" s="60"/>
      <c r="P10" s="60"/>
      <c r="Q10" s="60"/>
      <c r="R10" s="60"/>
      <c r="S10" s="62"/>
    </row>
    <row r="11" spans="1:19" x14ac:dyDescent="0.3">
      <c r="A11" s="36" t="s">
        <v>8</v>
      </c>
      <c r="B11" s="37"/>
      <c r="C11" s="37"/>
      <c r="D11" s="37"/>
      <c r="E11" s="38"/>
      <c r="F11" s="45">
        <f>IF((F7+F10)&gt;=200000.01,200000,(F7+F10))</f>
        <v>25499</v>
      </c>
      <c r="G11" s="1"/>
      <c r="H11" s="1"/>
      <c r="I11" s="65"/>
      <c r="J11" s="60"/>
      <c r="K11" s="60">
        <v>24</v>
      </c>
      <c r="L11" s="60">
        <v>6</v>
      </c>
      <c r="M11" s="63">
        <v>6.8000000000000005E-2</v>
      </c>
      <c r="N11" s="60"/>
      <c r="O11" s="60"/>
      <c r="P11" s="60"/>
      <c r="Q11" s="60"/>
      <c r="R11" s="60"/>
      <c r="S11" s="62"/>
    </row>
    <row r="12" spans="1:19" x14ac:dyDescent="0.3">
      <c r="A12" s="46" t="s">
        <v>37</v>
      </c>
      <c r="B12" s="47"/>
      <c r="C12" s="47"/>
      <c r="D12" s="48"/>
      <c r="E12" s="49">
        <v>0</v>
      </c>
      <c r="F12" s="35">
        <v>0</v>
      </c>
      <c r="G12" s="1"/>
      <c r="H12" s="1"/>
      <c r="I12" s="65"/>
      <c r="J12" s="60"/>
      <c r="K12" s="60">
        <v>24</v>
      </c>
      <c r="L12" s="60">
        <v>9</v>
      </c>
      <c r="M12" s="63">
        <v>6.3549999999999995E-2</v>
      </c>
      <c r="N12" s="60"/>
      <c r="O12" s="60"/>
      <c r="P12" s="60"/>
      <c r="Q12" s="60"/>
      <c r="R12" s="60"/>
      <c r="S12" s="62"/>
    </row>
    <row r="13" spans="1:19" x14ac:dyDescent="0.3">
      <c r="A13" s="50" t="s">
        <v>3</v>
      </c>
      <c r="B13" s="51"/>
      <c r="C13" s="51"/>
      <c r="D13" s="52"/>
      <c r="E13" s="53">
        <v>3.5000000000000003E-2</v>
      </c>
      <c r="F13" s="45">
        <f>E13*F11</f>
        <v>892.46500000000003</v>
      </c>
      <c r="G13" s="1"/>
      <c r="H13" s="1"/>
      <c r="I13" s="65"/>
      <c r="J13" s="60"/>
      <c r="K13" s="60">
        <v>24</v>
      </c>
      <c r="L13" s="60">
        <v>10</v>
      </c>
      <c r="M13" s="63">
        <v>6.2120000000000002E-2</v>
      </c>
      <c r="N13" s="60"/>
      <c r="O13" s="60"/>
      <c r="P13" s="60"/>
      <c r="Q13" s="60"/>
      <c r="R13" s="60"/>
      <c r="S13" s="62"/>
    </row>
    <row r="14" spans="1:19" x14ac:dyDescent="0.3">
      <c r="A14" s="54" t="s">
        <v>36</v>
      </c>
      <c r="B14" s="55"/>
      <c r="C14" s="55"/>
      <c r="D14" s="55"/>
      <c r="E14" s="56"/>
      <c r="F14" s="57">
        <v>1E-4</v>
      </c>
      <c r="G14" s="1"/>
      <c r="H14" s="1"/>
      <c r="I14" s="65"/>
      <c r="J14" s="62"/>
      <c r="K14" s="62"/>
      <c r="L14" s="62"/>
      <c r="M14" s="62"/>
      <c r="N14" s="62"/>
      <c r="O14" s="62"/>
      <c r="P14" s="62"/>
      <c r="Q14" s="62"/>
      <c r="R14" s="62"/>
      <c r="S14" s="62"/>
    </row>
    <row r="15" spans="1:19" ht="15" thickBot="1" x14ac:dyDescent="0.35">
      <c r="A15" s="22" t="s">
        <v>10</v>
      </c>
      <c r="B15" s="23"/>
      <c r="C15" s="23"/>
      <c r="D15" s="23"/>
      <c r="E15" s="23"/>
      <c r="F15" s="9">
        <f>SUMIFS(M9:M13,K9:K13,F8,L9:L13,F9)</f>
        <v>6.3549999999999995E-2</v>
      </c>
      <c r="G15" s="1"/>
      <c r="H15" s="1"/>
      <c r="I15" s="65"/>
    </row>
    <row r="16" spans="1:19" ht="18" x14ac:dyDescent="0.3">
      <c r="A16" s="20" t="s">
        <v>15</v>
      </c>
      <c r="B16" s="20"/>
      <c r="C16" s="20"/>
      <c r="D16" s="20"/>
      <c r="E16" s="20"/>
      <c r="F16" s="20"/>
      <c r="G16" s="1"/>
      <c r="H16" s="1"/>
      <c r="I16" s="65"/>
    </row>
    <row r="17" spans="1:10" ht="43.8" customHeight="1" thickBot="1" x14ac:dyDescent="0.35">
      <c r="A17" s="21" t="s">
        <v>16</v>
      </c>
      <c r="B17" s="21"/>
      <c r="C17" s="21"/>
      <c r="D17" s="21"/>
      <c r="E17" s="21"/>
      <c r="F17" s="21"/>
      <c r="G17" s="1"/>
      <c r="H17" s="1"/>
      <c r="I17" s="65"/>
    </row>
    <row r="18" spans="1:10" x14ac:dyDescent="0.3">
      <c r="A18" s="17" t="s">
        <v>17</v>
      </c>
      <c r="B18" s="17"/>
      <c r="C18" s="17"/>
      <c r="D18" s="17"/>
      <c r="E18" s="17"/>
      <c r="F18" s="12">
        <f>D25</f>
        <v>1620.46</v>
      </c>
      <c r="G18" s="1"/>
      <c r="H18" s="1"/>
      <c r="I18" s="65"/>
    </row>
    <row r="19" spans="1:10" x14ac:dyDescent="0.3">
      <c r="A19" s="17" t="s">
        <v>18</v>
      </c>
      <c r="B19" s="17"/>
      <c r="C19" s="17"/>
      <c r="D19" s="17"/>
      <c r="E19" s="17"/>
      <c r="F19" s="13">
        <f>F49+G49+H49</f>
        <v>13889.115</v>
      </c>
      <c r="G19" s="1"/>
      <c r="H19" s="1"/>
      <c r="I19" s="65"/>
    </row>
    <row r="20" spans="1:10" x14ac:dyDescent="0.3">
      <c r="A20" s="17" t="s">
        <v>19</v>
      </c>
      <c r="B20" s="17"/>
      <c r="C20" s="17"/>
      <c r="D20" s="17"/>
      <c r="E20" s="17"/>
      <c r="F20" s="14">
        <f>F19+F11</f>
        <v>39388.114999999998</v>
      </c>
      <c r="G20" s="1"/>
      <c r="H20" s="1"/>
      <c r="I20" s="65"/>
    </row>
    <row r="21" spans="1:10" ht="15" thickBot="1" x14ac:dyDescent="0.35">
      <c r="A21" s="17" t="s">
        <v>20</v>
      </c>
      <c r="B21" s="17"/>
      <c r="C21" s="17"/>
      <c r="D21" s="17"/>
      <c r="E21" s="17"/>
      <c r="F21" s="15">
        <f>XIRR(J24:J48,B24:B48)</f>
        <v>0.58099750876426703</v>
      </c>
      <c r="G21" s="1"/>
      <c r="H21" s="1"/>
      <c r="I21" s="65"/>
    </row>
    <row r="22" spans="1:10" x14ac:dyDescent="0.3">
      <c r="G22" s="1"/>
      <c r="H22" s="1"/>
      <c r="I22" s="65"/>
    </row>
    <row r="23" spans="1:10" ht="43.2" x14ac:dyDescent="0.3">
      <c r="A23" s="2" t="s">
        <v>21</v>
      </c>
      <c r="B23" s="2" t="s">
        <v>22</v>
      </c>
      <c r="C23" s="2" t="s">
        <v>23</v>
      </c>
      <c r="D23" s="2" t="s">
        <v>24</v>
      </c>
      <c r="E23" s="2" t="s">
        <v>25</v>
      </c>
      <c r="F23" s="2" t="s">
        <v>26</v>
      </c>
      <c r="G23" s="2" t="s">
        <v>31</v>
      </c>
      <c r="H23" s="2" t="s">
        <v>27</v>
      </c>
      <c r="I23" s="66" t="s">
        <v>28</v>
      </c>
      <c r="J23" s="69" t="s">
        <v>29</v>
      </c>
    </row>
    <row r="24" spans="1:10" x14ac:dyDescent="0.3">
      <c r="A24" s="3">
        <v>0</v>
      </c>
      <c r="B24" s="4">
        <v>44927</v>
      </c>
      <c r="C24" s="5">
        <f>F11</f>
        <v>25499</v>
      </c>
      <c r="D24" s="5">
        <f>-C24</f>
        <v>-25499</v>
      </c>
      <c r="E24" s="5">
        <f>D24</f>
        <v>-25499</v>
      </c>
      <c r="F24" s="5"/>
      <c r="G24" s="5"/>
      <c r="H24" s="5">
        <f>F10</f>
        <v>500</v>
      </c>
      <c r="I24" s="67">
        <f>H10</f>
        <v>0</v>
      </c>
      <c r="J24" s="70">
        <f t="shared" ref="J24:J48" si="0">SUM(E24:I24)</f>
        <v>-24999</v>
      </c>
    </row>
    <row r="25" spans="1:10" x14ac:dyDescent="0.3">
      <c r="A25" s="6">
        <v>1</v>
      </c>
      <c r="B25" s="4">
        <v>44958</v>
      </c>
      <c r="C25" s="7">
        <f>C24-E25</f>
        <v>23878.75</v>
      </c>
      <c r="D25" s="7">
        <f>E25+F25+G25</f>
        <v>1620.46</v>
      </c>
      <c r="E25" s="7">
        <f>IF(A25=$F$8,C24,MIN(C24,ROUND($F$11*$F$15,2)-F25-G25))</f>
        <v>1620.25</v>
      </c>
      <c r="F25" s="7">
        <f>ROUND(C24*$F$14/12,2)</f>
        <v>0.21</v>
      </c>
      <c r="G25" s="7">
        <f>IF(A25&lt;=$F$9,0,IF(A25&gt;$F$9,($F$11*$E$13)))</f>
        <v>0</v>
      </c>
      <c r="H25" s="7" t="s">
        <v>30</v>
      </c>
      <c r="I25" s="68" t="s">
        <v>30</v>
      </c>
      <c r="J25" s="70">
        <f t="shared" si="0"/>
        <v>1620.46</v>
      </c>
    </row>
    <row r="26" spans="1:10" x14ac:dyDescent="0.3">
      <c r="A26" s="6">
        <v>2</v>
      </c>
      <c r="B26" s="4">
        <v>44986</v>
      </c>
      <c r="C26" s="7">
        <f t="shared" ref="C26:C48" si="1">C25-E26</f>
        <v>22258.49</v>
      </c>
      <c r="D26" s="7">
        <f t="shared" ref="D26:D27" si="2">E26+F26+G26</f>
        <v>1620.46</v>
      </c>
      <c r="E26" s="7">
        <f t="shared" ref="E26:E48" si="3">IF(A26=$F$8,C25,MIN(C25,ROUND($F$11*$F$15,2)-F26-G26))</f>
        <v>1620.26</v>
      </c>
      <c r="F26" s="7">
        <f t="shared" ref="F26:F48" si="4">ROUND(C25*$F$14/12,2)</f>
        <v>0.2</v>
      </c>
      <c r="G26" s="7">
        <f t="shared" ref="G26:G48" si="5">IF(A26&lt;=$F$9,0,IF(A26&gt;$F$9,($F$11*$E$13)))</f>
        <v>0</v>
      </c>
      <c r="H26" s="7" t="s">
        <v>30</v>
      </c>
      <c r="I26" s="68" t="s">
        <v>30</v>
      </c>
      <c r="J26" s="70">
        <f t="shared" si="0"/>
        <v>1620.46</v>
      </c>
    </row>
    <row r="27" spans="1:10" x14ac:dyDescent="0.3">
      <c r="A27" s="6">
        <v>3</v>
      </c>
      <c r="B27" s="4">
        <v>45017</v>
      </c>
      <c r="C27" s="7">
        <f t="shared" si="1"/>
        <v>20638.22</v>
      </c>
      <c r="D27" s="7">
        <f t="shared" si="2"/>
        <v>1620.46</v>
      </c>
      <c r="E27" s="7">
        <f t="shared" si="3"/>
        <v>1620.27</v>
      </c>
      <c r="F27" s="7">
        <f t="shared" si="4"/>
        <v>0.19</v>
      </c>
      <c r="G27" s="7">
        <f t="shared" si="5"/>
        <v>0</v>
      </c>
      <c r="H27" s="7" t="s">
        <v>30</v>
      </c>
      <c r="I27" s="68" t="s">
        <v>30</v>
      </c>
      <c r="J27" s="70">
        <f t="shared" si="0"/>
        <v>1620.46</v>
      </c>
    </row>
    <row r="28" spans="1:10" x14ac:dyDescent="0.3">
      <c r="A28" s="6">
        <v>4</v>
      </c>
      <c r="B28" s="4">
        <v>45047</v>
      </c>
      <c r="C28" s="7">
        <f t="shared" si="1"/>
        <v>19017.93</v>
      </c>
      <c r="D28" s="7">
        <f t="shared" ref="D28:D29" si="6">E28+F28+G28</f>
        <v>1620.46</v>
      </c>
      <c r="E28" s="7">
        <f t="shared" si="3"/>
        <v>1620.29</v>
      </c>
      <c r="F28" s="7">
        <f t="shared" si="4"/>
        <v>0.17</v>
      </c>
      <c r="G28" s="7">
        <f t="shared" si="5"/>
        <v>0</v>
      </c>
      <c r="H28" s="7" t="s">
        <v>30</v>
      </c>
      <c r="I28" s="68" t="s">
        <v>30</v>
      </c>
      <c r="J28" s="70">
        <f t="shared" si="0"/>
        <v>1620.46</v>
      </c>
    </row>
    <row r="29" spans="1:10" x14ac:dyDescent="0.3">
      <c r="A29" s="6">
        <v>5</v>
      </c>
      <c r="B29" s="4">
        <v>45078</v>
      </c>
      <c r="C29" s="7">
        <f t="shared" si="1"/>
        <v>17397.63</v>
      </c>
      <c r="D29" s="7">
        <f t="shared" si="6"/>
        <v>1620.46</v>
      </c>
      <c r="E29" s="7">
        <f t="shared" si="3"/>
        <v>1620.3</v>
      </c>
      <c r="F29" s="7">
        <f t="shared" si="4"/>
        <v>0.16</v>
      </c>
      <c r="G29" s="7">
        <f t="shared" si="5"/>
        <v>0</v>
      </c>
      <c r="H29" s="7" t="s">
        <v>30</v>
      </c>
      <c r="I29" s="68" t="s">
        <v>30</v>
      </c>
      <c r="J29" s="70">
        <f t="shared" si="0"/>
        <v>1620.46</v>
      </c>
    </row>
    <row r="30" spans="1:10" x14ac:dyDescent="0.3">
      <c r="A30" s="6">
        <v>6</v>
      </c>
      <c r="B30" s="4">
        <v>45108</v>
      </c>
      <c r="C30" s="7">
        <f t="shared" si="1"/>
        <v>15777.310000000001</v>
      </c>
      <c r="D30" s="7">
        <f t="shared" ref="D30:D48" si="7">E30+F30+G30</f>
        <v>1620.46</v>
      </c>
      <c r="E30" s="7">
        <f t="shared" si="3"/>
        <v>1620.32</v>
      </c>
      <c r="F30" s="7">
        <f t="shared" si="4"/>
        <v>0.14000000000000001</v>
      </c>
      <c r="G30" s="7">
        <f t="shared" si="5"/>
        <v>0</v>
      </c>
      <c r="H30" s="7" t="s">
        <v>30</v>
      </c>
      <c r="I30" s="68" t="s">
        <v>30</v>
      </c>
      <c r="J30" s="70">
        <f t="shared" si="0"/>
        <v>1620.46</v>
      </c>
    </row>
    <row r="31" spans="1:10" x14ac:dyDescent="0.3">
      <c r="A31" s="6">
        <v>7</v>
      </c>
      <c r="B31" s="4">
        <v>45139</v>
      </c>
      <c r="C31" s="7">
        <f t="shared" si="1"/>
        <v>14156.980000000001</v>
      </c>
      <c r="D31" s="7">
        <f t="shared" si="7"/>
        <v>1620.46</v>
      </c>
      <c r="E31" s="7">
        <f t="shared" si="3"/>
        <v>1620.33</v>
      </c>
      <c r="F31" s="7">
        <f t="shared" si="4"/>
        <v>0.13</v>
      </c>
      <c r="G31" s="7">
        <f t="shared" si="5"/>
        <v>0</v>
      </c>
      <c r="H31" s="7" t="s">
        <v>30</v>
      </c>
      <c r="I31" s="68" t="s">
        <v>30</v>
      </c>
      <c r="J31" s="70">
        <f t="shared" si="0"/>
        <v>1620.46</v>
      </c>
    </row>
    <row r="32" spans="1:10" x14ac:dyDescent="0.3">
      <c r="A32" s="6">
        <v>8</v>
      </c>
      <c r="B32" s="4">
        <v>45170</v>
      </c>
      <c r="C32" s="7">
        <f t="shared" si="1"/>
        <v>12536.640000000001</v>
      </c>
      <c r="D32" s="7">
        <f t="shared" si="7"/>
        <v>1620.46</v>
      </c>
      <c r="E32" s="7">
        <f t="shared" si="3"/>
        <v>1620.3400000000001</v>
      </c>
      <c r="F32" s="7">
        <f t="shared" si="4"/>
        <v>0.12</v>
      </c>
      <c r="G32" s="7">
        <f t="shared" si="5"/>
        <v>0</v>
      </c>
      <c r="H32" s="7" t="s">
        <v>30</v>
      </c>
      <c r="I32" s="68" t="s">
        <v>30</v>
      </c>
      <c r="J32" s="70">
        <f t="shared" si="0"/>
        <v>1620.46</v>
      </c>
    </row>
    <row r="33" spans="1:10" x14ac:dyDescent="0.3">
      <c r="A33" s="6">
        <v>9</v>
      </c>
      <c r="B33" s="4">
        <v>45200</v>
      </c>
      <c r="C33" s="7">
        <f t="shared" si="1"/>
        <v>10916.28</v>
      </c>
      <c r="D33" s="7">
        <f t="shared" si="7"/>
        <v>1620.46</v>
      </c>
      <c r="E33" s="7">
        <f t="shared" si="3"/>
        <v>1620.3600000000001</v>
      </c>
      <c r="F33" s="7">
        <f t="shared" si="4"/>
        <v>0.1</v>
      </c>
      <c r="G33" s="7">
        <f t="shared" si="5"/>
        <v>0</v>
      </c>
      <c r="H33" s="7" t="s">
        <v>30</v>
      </c>
      <c r="I33" s="68" t="s">
        <v>30</v>
      </c>
      <c r="J33" s="70">
        <f t="shared" si="0"/>
        <v>1620.46</v>
      </c>
    </row>
    <row r="34" spans="1:10" x14ac:dyDescent="0.3">
      <c r="A34" s="6">
        <v>10</v>
      </c>
      <c r="B34" s="4">
        <v>45231</v>
      </c>
      <c r="C34" s="7">
        <f t="shared" si="1"/>
        <v>10188.375</v>
      </c>
      <c r="D34" s="7">
        <f t="shared" si="7"/>
        <v>1620.46</v>
      </c>
      <c r="E34" s="7">
        <f t="shared" si="3"/>
        <v>727.90500000000009</v>
      </c>
      <c r="F34" s="7">
        <f t="shared" si="4"/>
        <v>0.09</v>
      </c>
      <c r="G34" s="7">
        <f t="shared" si="5"/>
        <v>892.46500000000003</v>
      </c>
      <c r="H34" s="7" t="s">
        <v>30</v>
      </c>
      <c r="I34" s="68" t="s">
        <v>30</v>
      </c>
      <c r="J34" s="70">
        <f t="shared" si="0"/>
        <v>1620.46</v>
      </c>
    </row>
    <row r="35" spans="1:10" x14ac:dyDescent="0.3">
      <c r="A35" s="6">
        <v>11</v>
      </c>
      <c r="B35" s="4">
        <v>45261</v>
      </c>
      <c r="C35" s="7">
        <f t="shared" si="1"/>
        <v>9460.4599999999991</v>
      </c>
      <c r="D35" s="7">
        <f t="shared" si="7"/>
        <v>1620.46</v>
      </c>
      <c r="E35" s="7">
        <f t="shared" si="3"/>
        <v>727.91500000000008</v>
      </c>
      <c r="F35" s="7">
        <f t="shared" si="4"/>
        <v>0.08</v>
      </c>
      <c r="G35" s="7">
        <f t="shared" si="5"/>
        <v>892.46500000000003</v>
      </c>
      <c r="H35" s="7" t="s">
        <v>30</v>
      </c>
      <c r="I35" s="68" t="s">
        <v>30</v>
      </c>
      <c r="J35" s="70">
        <f t="shared" si="0"/>
        <v>1620.46</v>
      </c>
    </row>
    <row r="36" spans="1:10" x14ac:dyDescent="0.3">
      <c r="A36" s="6">
        <v>12</v>
      </c>
      <c r="B36" s="4">
        <v>45292</v>
      </c>
      <c r="C36" s="7">
        <f t="shared" si="1"/>
        <v>8732.5449999999983</v>
      </c>
      <c r="D36" s="7">
        <f t="shared" si="7"/>
        <v>1620.46</v>
      </c>
      <c r="E36" s="7">
        <f t="shared" si="3"/>
        <v>727.91500000000008</v>
      </c>
      <c r="F36" s="7">
        <f t="shared" si="4"/>
        <v>0.08</v>
      </c>
      <c r="G36" s="7">
        <f t="shared" si="5"/>
        <v>892.46500000000003</v>
      </c>
      <c r="H36" s="7" t="s">
        <v>30</v>
      </c>
      <c r="I36" s="68" t="s">
        <v>30</v>
      </c>
      <c r="J36" s="70">
        <f t="shared" si="0"/>
        <v>1620.46</v>
      </c>
    </row>
    <row r="37" spans="1:10" x14ac:dyDescent="0.3">
      <c r="A37" s="6">
        <v>13</v>
      </c>
      <c r="B37" s="4">
        <v>45323</v>
      </c>
      <c r="C37" s="7">
        <f t="shared" si="1"/>
        <v>8004.6199999999981</v>
      </c>
      <c r="D37" s="7">
        <f t="shared" si="7"/>
        <v>1620.46</v>
      </c>
      <c r="E37" s="7">
        <f t="shared" si="3"/>
        <v>727.92500000000007</v>
      </c>
      <c r="F37" s="7">
        <f t="shared" si="4"/>
        <v>7.0000000000000007E-2</v>
      </c>
      <c r="G37" s="7">
        <f t="shared" si="5"/>
        <v>892.46500000000003</v>
      </c>
      <c r="H37" s="7" t="s">
        <v>30</v>
      </c>
      <c r="I37" s="68">
        <f>H10</f>
        <v>0</v>
      </c>
      <c r="J37" s="70">
        <f t="shared" si="0"/>
        <v>1620.46</v>
      </c>
    </row>
    <row r="38" spans="1:10" x14ac:dyDescent="0.3">
      <c r="A38" s="6">
        <v>14</v>
      </c>
      <c r="B38" s="4">
        <v>45352</v>
      </c>
      <c r="C38" s="7">
        <f t="shared" si="1"/>
        <v>7276.6949999999979</v>
      </c>
      <c r="D38" s="7">
        <f t="shared" si="7"/>
        <v>1620.46</v>
      </c>
      <c r="E38" s="7">
        <f t="shared" si="3"/>
        <v>727.92500000000007</v>
      </c>
      <c r="F38" s="7">
        <f t="shared" si="4"/>
        <v>7.0000000000000007E-2</v>
      </c>
      <c r="G38" s="7">
        <f t="shared" si="5"/>
        <v>892.46500000000003</v>
      </c>
      <c r="H38" s="7" t="s">
        <v>30</v>
      </c>
      <c r="I38" s="68" t="s">
        <v>30</v>
      </c>
      <c r="J38" s="70">
        <f t="shared" si="0"/>
        <v>1620.46</v>
      </c>
    </row>
    <row r="39" spans="1:10" x14ac:dyDescent="0.3">
      <c r="A39" s="6">
        <v>15</v>
      </c>
      <c r="B39" s="4">
        <v>45383</v>
      </c>
      <c r="C39" s="7">
        <f t="shared" si="1"/>
        <v>6548.7599999999975</v>
      </c>
      <c r="D39" s="7">
        <f t="shared" si="7"/>
        <v>1620.46</v>
      </c>
      <c r="E39" s="7">
        <f t="shared" si="3"/>
        <v>727.93500000000006</v>
      </c>
      <c r="F39" s="7">
        <f t="shared" si="4"/>
        <v>0.06</v>
      </c>
      <c r="G39" s="7">
        <f t="shared" si="5"/>
        <v>892.46500000000003</v>
      </c>
      <c r="H39" s="7" t="s">
        <v>30</v>
      </c>
      <c r="I39" s="68" t="s">
        <v>30</v>
      </c>
      <c r="J39" s="70">
        <f t="shared" si="0"/>
        <v>1620.46</v>
      </c>
    </row>
    <row r="40" spans="1:10" x14ac:dyDescent="0.3">
      <c r="A40" s="6">
        <v>16</v>
      </c>
      <c r="B40" s="4">
        <v>45413</v>
      </c>
      <c r="C40" s="7">
        <f t="shared" si="1"/>
        <v>5820.8149999999978</v>
      </c>
      <c r="D40" s="7">
        <f t="shared" si="7"/>
        <v>1620.46</v>
      </c>
      <c r="E40" s="7">
        <f t="shared" si="3"/>
        <v>727.94500000000005</v>
      </c>
      <c r="F40" s="7">
        <f t="shared" si="4"/>
        <v>0.05</v>
      </c>
      <c r="G40" s="7">
        <f t="shared" si="5"/>
        <v>892.46500000000003</v>
      </c>
      <c r="H40" s="7" t="s">
        <v>30</v>
      </c>
      <c r="I40" s="68" t="s">
        <v>30</v>
      </c>
      <c r="J40" s="70">
        <f t="shared" si="0"/>
        <v>1620.46</v>
      </c>
    </row>
    <row r="41" spans="1:10" x14ac:dyDescent="0.3">
      <c r="A41" s="6">
        <v>17</v>
      </c>
      <c r="B41" s="4">
        <v>45444</v>
      </c>
      <c r="C41" s="7">
        <f t="shared" si="1"/>
        <v>5092.8699999999981</v>
      </c>
      <c r="D41" s="7">
        <f t="shared" si="7"/>
        <v>1620.46</v>
      </c>
      <c r="E41" s="7">
        <f t="shared" si="3"/>
        <v>727.94500000000005</v>
      </c>
      <c r="F41" s="7">
        <f t="shared" si="4"/>
        <v>0.05</v>
      </c>
      <c r="G41" s="7">
        <f t="shared" si="5"/>
        <v>892.46500000000003</v>
      </c>
      <c r="H41" s="7" t="s">
        <v>30</v>
      </c>
      <c r="I41" s="68" t="s">
        <v>30</v>
      </c>
      <c r="J41" s="70">
        <f t="shared" si="0"/>
        <v>1620.46</v>
      </c>
    </row>
    <row r="42" spans="1:10" x14ac:dyDescent="0.3">
      <c r="A42" s="6">
        <v>18</v>
      </c>
      <c r="B42" s="4">
        <v>45474</v>
      </c>
      <c r="C42" s="7">
        <f t="shared" si="1"/>
        <v>4364.9149999999981</v>
      </c>
      <c r="D42" s="7">
        <f t="shared" si="7"/>
        <v>1620.46</v>
      </c>
      <c r="E42" s="7">
        <f t="shared" si="3"/>
        <v>727.95500000000004</v>
      </c>
      <c r="F42" s="7">
        <f t="shared" si="4"/>
        <v>0.04</v>
      </c>
      <c r="G42" s="7">
        <f t="shared" si="5"/>
        <v>892.46500000000003</v>
      </c>
      <c r="H42" s="7" t="s">
        <v>30</v>
      </c>
      <c r="I42" s="68" t="s">
        <v>30</v>
      </c>
      <c r="J42" s="70">
        <f t="shared" si="0"/>
        <v>1620.46</v>
      </c>
    </row>
    <row r="43" spans="1:10" x14ac:dyDescent="0.3">
      <c r="A43" s="6">
        <v>19</v>
      </c>
      <c r="B43" s="4">
        <v>45505</v>
      </c>
      <c r="C43" s="7">
        <f t="shared" si="1"/>
        <v>3636.9599999999982</v>
      </c>
      <c r="D43" s="7">
        <f t="shared" si="7"/>
        <v>1620.46</v>
      </c>
      <c r="E43" s="7">
        <f t="shared" si="3"/>
        <v>727.95500000000004</v>
      </c>
      <c r="F43" s="7">
        <f t="shared" si="4"/>
        <v>0.04</v>
      </c>
      <c r="G43" s="7">
        <f t="shared" si="5"/>
        <v>892.46500000000003</v>
      </c>
      <c r="H43" s="7" t="s">
        <v>30</v>
      </c>
      <c r="I43" s="68" t="s">
        <v>30</v>
      </c>
      <c r="J43" s="70">
        <f t="shared" si="0"/>
        <v>1620.46</v>
      </c>
    </row>
    <row r="44" spans="1:10" x14ac:dyDescent="0.3">
      <c r="A44" s="6">
        <v>20</v>
      </c>
      <c r="B44" s="4">
        <v>45536</v>
      </c>
      <c r="C44" s="7">
        <f t="shared" si="1"/>
        <v>2908.9949999999981</v>
      </c>
      <c r="D44" s="7">
        <f t="shared" si="7"/>
        <v>1620.46</v>
      </c>
      <c r="E44" s="7">
        <f t="shared" si="3"/>
        <v>727.96500000000003</v>
      </c>
      <c r="F44" s="7">
        <f t="shared" si="4"/>
        <v>0.03</v>
      </c>
      <c r="G44" s="7">
        <f t="shared" si="5"/>
        <v>892.46500000000003</v>
      </c>
      <c r="H44" s="7" t="s">
        <v>30</v>
      </c>
      <c r="I44" s="68" t="s">
        <v>30</v>
      </c>
      <c r="J44" s="70">
        <f t="shared" si="0"/>
        <v>1620.46</v>
      </c>
    </row>
    <row r="45" spans="1:10" x14ac:dyDescent="0.3">
      <c r="A45" s="6">
        <v>21</v>
      </c>
      <c r="B45" s="4">
        <v>45566</v>
      </c>
      <c r="C45" s="7">
        <f t="shared" si="1"/>
        <v>2181.0199999999982</v>
      </c>
      <c r="D45" s="7">
        <f t="shared" si="7"/>
        <v>1620.46</v>
      </c>
      <c r="E45" s="7">
        <f t="shared" si="3"/>
        <v>727.97500000000002</v>
      </c>
      <c r="F45" s="7">
        <f t="shared" si="4"/>
        <v>0.02</v>
      </c>
      <c r="G45" s="7">
        <f t="shared" si="5"/>
        <v>892.46500000000003</v>
      </c>
      <c r="H45" s="7" t="s">
        <v>30</v>
      </c>
      <c r="I45" s="68" t="s">
        <v>30</v>
      </c>
      <c r="J45" s="70">
        <f t="shared" si="0"/>
        <v>1620.46</v>
      </c>
    </row>
    <row r="46" spans="1:10" x14ac:dyDescent="0.3">
      <c r="A46" s="6">
        <v>22</v>
      </c>
      <c r="B46" s="4">
        <v>45597</v>
      </c>
      <c r="C46" s="7">
        <f t="shared" si="1"/>
        <v>1453.0449999999983</v>
      </c>
      <c r="D46" s="7">
        <f t="shared" si="7"/>
        <v>1620.46</v>
      </c>
      <c r="E46" s="7">
        <f t="shared" si="3"/>
        <v>727.97500000000002</v>
      </c>
      <c r="F46" s="7">
        <f t="shared" si="4"/>
        <v>0.02</v>
      </c>
      <c r="G46" s="7">
        <f t="shared" si="5"/>
        <v>892.46500000000003</v>
      </c>
      <c r="H46" s="7" t="s">
        <v>30</v>
      </c>
      <c r="I46" s="68" t="s">
        <v>30</v>
      </c>
      <c r="J46" s="70">
        <f t="shared" si="0"/>
        <v>1620.46</v>
      </c>
    </row>
    <row r="47" spans="1:10" x14ac:dyDescent="0.3">
      <c r="A47" s="6">
        <v>23</v>
      </c>
      <c r="B47" s="4">
        <v>45627</v>
      </c>
      <c r="C47" s="7">
        <f t="shared" si="1"/>
        <v>725.05999999999824</v>
      </c>
      <c r="D47" s="7">
        <f t="shared" si="7"/>
        <v>1620.46</v>
      </c>
      <c r="E47" s="7">
        <f t="shared" si="3"/>
        <v>727.98500000000001</v>
      </c>
      <c r="F47" s="7">
        <f t="shared" si="4"/>
        <v>0.01</v>
      </c>
      <c r="G47" s="7">
        <f t="shared" si="5"/>
        <v>892.46500000000003</v>
      </c>
      <c r="H47" s="7" t="s">
        <v>30</v>
      </c>
      <c r="I47" s="68" t="s">
        <v>30</v>
      </c>
      <c r="J47" s="70">
        <f t="shared" si="0"/>
        <v>1620.46</v>
      </c>
    </row>
    <row r="48" spans="1:10" x14ac:dyDescent="0.3">
      <c r="A48" s="6">
        <v>24</v>
      </c>
      <c r="B48" s="4">
        <v>45658</v>
      </c>
      <c r="C48" s="7">
        <f t="shared" si="1"/>
        <v>0</v>
      </c>
      <c r="D48" s="7">
        <f t="shared" si="7"/>
        <v>1617.5349999999983</v>
      </c>
      <c r="E48" s="7">
        <f t="shared" si="3"/>
        <v>725.05999999999824</v>
      </c>
      <c r="F48" s="7">
        <f t="shared" si="4"/>
        <v>0.01</v>
      </c>
      <c r="G48" s="7">
        <f t="shared" si="5"/>
        <v>892.46500000000003</v>
      </c>
      <c r="H48" s="7" t="s">
        <v>30</v>
      </c>
      <c r="I48" s="68" t="s">
        <v>30</v>
      </c>
      <c r="J48" s="70">
        <f t="shared" si="0"/>
        <v>1617.5349999999983</v>
      </c>
    </row>
    <row r="49" spans="1:10" s="8" customFormat="1" x14ac:dyDescent="0.3">
      <c r="A49" s="10"/>
      <c r="B49" s="10"/>
      <c r="C49" s="10"/>
      <c r="D49" s="10"/>
      <c r="E49" s="11">
        <f>SUM(E25:E48)</f>
        <v>25499</v>
      </c>
      <c r="F49" s="11">
        <f t="shared" ref="F49:G49" si="8">SUM(F25:F48)</f>
        <v>2.14</v>
      </c>
      <c r="G49" s="11">
        <f t="shared" si="8"/>
        <v>13386.975</v>
      </c>
      <c r="H49" s="11">
        <f>SUM(H24:H48)</f>
        <v>500</v>
      </c>
      <c r="I49" s="11">
        <f>SUM(I24:I48)</f>
        <v>0</v>
      </c>
      <c r="J49" s="71"/>
    </row>
    <row r="50" spans="1:10" x14ac:dyDescent="0.3">
      <c r="J50" s="62"/>
    </row>
    <row r="51" spans="1:10" x14ac:dyDescent="0.3">
      <c r="J51" s="62"/>
    </row>
  </sheetData>
  <sheetProtection algorithmName="SHA-512" hashValue="oyZ+8uldQWcakdvarNPtx52JjiXRaNYVzQ/9zldtkzEWdm4bn4NoQq73EsqAxVss3i5JgPsci44pmHDTi3iLUQ==" saltValue="uirSFUxzHvfJgghl4M1i1w==" spinCount="100000" sheet="1" selectLockedCells="1"/>
  <mergeCells count="19">
    <mergeCell ref="A1:F1"/>
    <mergeCell ref="A16:F16"/>
    <mergeCell ref="A17:F17"/>
    <mergeCell ref="A8:E8"/>
    <mergeCell ref="A9:E9"/>
    <mergeCell ref="A10:E10"/>
    <mergeCell ref="A11:E11"/>
    <mergeCell ref="A14:E14"/>
    <mergeCell ref="A15:E15"/>
    <mergeCell ref="A18:E18"/>
    <mergeCell ref="A19:E19"/>
    <mergeCell ref="A20:E20"/>
    <mergeCell ref="A21:E21"/>
    <mergeCell ref="A2:F2"/>
    <mergeCell ref="A3:F3"/>
    <mergeCell ref="A5:E5"/>
    <mergeCell ref="A7:E7"/>
    <mergeCell ref="A4:F4"/>
    <mergeCell ref="A6:C6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Аркуш2!$A$2:$A$6</xm:f>
          </x14:formula1>
          <xm:sqref>F9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F17" sqref="A1:F17"/>
    </sheetView>
  </sheetViews>
  <sheetFormatPr defaultRowHeight="14.4" x14ac:dyDescent="0.3"/>
  <cols>
    <col min="1" max="1" width="17.44140625" style="8" customWidth="1"/>
    <col min="2" max="16384" width="8.88671875" style="8"/>
  </cols>
  <sheetData>
    <row r="1" spans="1:1" x14ac:dyDescent="0.3">
      <c r="A1" s="8" t="s">
        <v>2</v>
      </c>
    </row>
    <row r="2" spans="1:1" x14ac:dyDescent="0.3">
      <c r="A2" s="8">
        <v>3</v>
      </c>
    </row>
    <row r="3" spans="1:1" x14ac:dyDescent="0.3">
      <c r="A3" s="8">
        <v>5</v>
      </c>
    </row>
    <row r="4" spans="1:1" x14ac:dyDescent="0.3">
      <c r="A4" s="8">
        <v>6</v>
      </c>
    </row>
    <row r="5" spans="1:1" x14ac:dyDescent="0.3">
      <c r="A5" s="8">
        <v>9</v>
      </c>
    </row>
    <row r="6" spans="1:1" x14ac:dyDescent="0.3">
      <c r="A6" s="8">
        <v>10</v>
      </c>
    </row>
  </sheetData>
  <sheetProtection algorithmName="SHA-512" hashValue="yUVgxrpHrhaUfXrrghu0GKfOP4xshldzHf3DxJBYBm//JxpxfbiT7sUSSlvuVWIe59tETM42dSCTIMh7V8ZkeA==" saltValue="wfl7R2tgiL5K2erlkUbVzQ==" spinCount="100000"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2</vt:i4>
      </vt:variant>
    </vt:vector>
  </HeadingPairs>
  <TitlesOfParts>
    <vt:vector size="2" baseType="lpstr">
      <vt:lpstr>Аркуш1</vt:lpstr>
      <vt:lpstr>Аркуш2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Макеева Наталия Валериевна</dc:creator>
  <cp:lastModifiedBy>Макеева Наталия Валериевна</cp:lastModifiedBy>
  <dcterms:created xsi:type="dcterms:W3CDTF">2023-11-08T11:37:35Z</dcterms:created>
  <dcterms:modified xsi:type="dcterms:W3CDTF">2023-11-14T09:24:37Z</dcterms:modified>
</cp:coreProperties>
</file>