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\Макеева\протоколы на комитеты\Цитрус\сайт\"/>
    </mc:Choice>
  </mc:AlternateContent>
  <bookViews>
    <workbookView xWindow="0" yWindow="0" windowWidth="23040" windowHeight="8616"/>
  </bookViews>
  <sheets>
    <sheet name="Аркуш1" sheetId="1" r:id="rId1"/>
    <sheet name="Аркуш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3" i="1" l="1"/>
  <c r="F15" i="1"/>
  <c r="Q8" i="1" l="1"/>
  <c r="Q7" i="1"/>
  <c r="Q6" i="1"/>
  <c r="F10" i="1" l="1"/>
  <c r="E9" i="1" l="1"/>
  <c r="M8" i="1" l="1"/>
  <c r="O9" i="1" s="1"/>
  <c r="F5" i="1" s="1"/>
  <c r="M7" i="1" l="1"/>
  <c r="M6" i="1"/>
  <c r="F6" i="1" l="1"/>
  <c r="I37" i="1"/>
  <c r="G26" i="1" l="1"/>
  <c r="G27" i="1"/>
  <c r="G28" i="1"/>
  <c r="G25" i="1"/>
  <c r="I24" i="1"/>
  <c r="I49" i="1" s="1"/>
  <c r="E5" i="1" l="1"/>
  <c r="F9" i="1" l="1"/>
  <c r="F11" i="1" s="1"/>
  <c r="H24" i="1" l="1"/>
  <c r="H49" i="1" s="1"/>
  <c r="C24" i="1"/>
  <c r="F13" i="1"/>
  <c r="G48" i="1" l="1"/>
  <c r="G45" i="1"/>
  <c r="G32" i="1"/>
  <c r="G39" i="1"/>
  <c r="G43" i="1"/>
  <c r="G38" i="1"/>
  <c r="G47" i="1"/>
  <c r="D24" i="1"/>
  <c r="E24" i="1" s="1"/>
  <c r="J24" i="1" s="1"/>
  <c r="G40" i="1"/>
  <c r="G36" i="1"/>
  <c r="G46" i="1"/>
  <c r="G41" i="1"/>
  <c r="F25" i="1"/>
  <c r="E25" i="1" s="1"/>
  <c r="C25" i="1" s="1"/>
  <c r="G30" i="1"/>
  <c r="G31" i="1"/>
  <c r="G35" i="1"/>
  <c r="G33" i="1"/>
  <c r="G42" i="1"/>
  <c r="G44" i="1"/>
  <c r="G29" i="1"/>
  <c r="G34" i="1"/>
  <c r="G37" i="1"/>
  <c r="F26" i="1" l="1"/>
  <c r="E26" i="1" s="1"/>
  <c r="G49" i="1"/>
  <c r="J25" i="1"/>
  <c r="D25" i="1"/>
  <c r="F18" i="1" s="1"/>
  <c r="J26" i="1" l="1"/>
  <c r="D26" i="1"/>
  <c r="C26" i="1"/>
  <c r="F27" i="1" l="1"/>
  <c r="E27" i="1" s="1"/>
  <c r="C27" i="1" l="1"/>
  <c r="F28" i="1" s="1"/>
  <c r="E28" i="1" s="1"/>
  <c r="D27" i="1"/>
  <c r="J27" i="1"/>
  <c r="D28" i="1" l="1"/>
  <c r="C28" i="1" l="1"/>
  <c r="J28" i="1"/>
  <c r="F29" i="1" l="1"/>
  <c r="E29" i="1" l="1"/>
  <c r="C29" i="1" s="1"/>
  <c r="J29" i="1" l="1"/>
  <c r="D29" i="1"/>
  <c r="F30" i="1"/>
  <c r="E30" i="1" s="1"/>
  <c r="C30" i="1" s="1"/>
  <c r="F31" i="1" s="1"/>
  <c r="E31" i="1" s="1"/>
  <c r="J30" i="1" l="1"/>
  <c r="D30" i="1"/>
  <c r="C31" i="1"/>
  <c r="F32" i="1" s="1"/>
  <c r="E32" i="1" s="1"/>
  <c r="J31" i="1"/>
  <c r="D31" i="1"/>
  <c r="C32" i="1" l="1"/>
  <c r="F33" i="1" s="1"/>
  <c r="E33" i="1" s="1"/>
  <c r="J32" i="1" l="1"/>
  <c r="D32" i="1"/>
  <c r="D33" i="1"/>
  <c r="C33" i="1" l="1"/>
  <c r="F34" i="1" s="1"/>
  <c r="E34" i="1" s="1"/>
  <c r="J33" i="1"/>
  <c r="D34" i="1" l="1"/>
  <c r="C34" i="1" l="1"/>
  <c r="J34" i="1"/>
  <c r="F35" i="1" l="1"/>
  <c r="E35" i="1" l="1"/>
  <c r="C35" i="1" s="1"/>
  <c r="F36" i="1" s="1"/>
  <c r="E36" i="1" s="1"/>
  <c r="D36" i="1" s="1"/>
  <c r="D35" i="1" l="1"/>
  <c r="J35" i="1"/>
  <c r="C36" i="1"/>
  <c r="J36" i="1"/>
  <c r="F37" i="1" l="1"/>
  <c r="E37" i="1" l="1"/>
  <c r="C37" i="1" s="1"/>
  <c r="F38" i="1" s="1"/>
  <c r="E38" i="1" s="1"/>
  <c r="D37" i="1" l="1"/>
  <c r="J37" i="1"/>
  <c r="C38" i="1"/>
  <c r="F39" i="1" s="1"/>
  <c r="E39" i="1" s="1"/>
  <c r="J38" i="1"/>
  <c r="D38" i="1"/>
  <c r="D39" i="1" l="1"/>
  <c r="C39" i="1" l="1"/>
  <c r="J39" i="1"/>
  <c r="F40" i="1" l="1"/>
  <c r="E40" i="1" l="1"/>
  <c r="C40" i="1" s="1"/>
  <c r="F41" i="1" s="1"/>
  <c r="E41" i="1" s="1"/>
  <c r="D40" i="1" l="1"/>
  <c r="J40" i="1"/>
  <c r="C41" i="1"/>
  <c r="F42" i="1" s="1"/>
  <c r="E42" i="1" s="1"/>
  <c r="J41" i="1"/>
  <c r="D41" i="1"/>
  <c r="C42" i="1" l="1"/>
  <c r="F43" i="1" l="1"/>
  <c r="E43" i="1" s="1"/>
  <c r="D42" i="1"/>
  <c r="J42" i="1"/>
  <c r="D43" i="1" l="1"/>
  <c r="C43" i="1"/>
  <c r="J43" i="1"/>
  <c r="F44" i="1" l="1"/>
  <c r="E44" i="1" l="1"/>
  <c r="C44" i="1" s="1"/>
  <c r="F45" i="1" s="1"/>
  <c r="E45" i="1" s="1"/>
  <c r="J44" i="1" l="1"/>
  <c r="D44" i="1"/>
  <c r="J45" i="1"/>
  <c r="D45" i="1"/>
  <c r="C45" i="1"/>
  <c r="F46" i="1" l="1"/>
  <c r="E46" i="1" s="1"/>
  <c r="D46" i="1" l="1"/>
  <c r="J46" i="1"/>
  <c r="C46" i="1"/>
  <c r="F47" i="1" l="1"/>
  <c r="E47" i="1" l="1"/>
  <c r="D47" i="1" s="1"/>
  <c r="J47" i="1" l="1"/>
  <c r="C47" i="1"/>
  <c r="E48" i="1" l="1"/>
  <c r="F48" i="1"/>
  <c r="F49" i="1" s="1"/>
  <c r="F19" i="1" s="1"/>
  <c r="E49" i="1" l="1"/>
  <c r="F20" i="1" s="1"/>
  <c r="C48" i="1"/>
  <c r="D48" i="1"/>
  <c r="J48" i="1"/>
  <c r="F21" i="1" s="1"/>
</calcChain>
</file>

<file path=xl/sharedStrings.xml><?xml version="1.0" encoding="utf-8"?>
<sst xmlns="http://schemas.openxmlformats.org/spreadsheetml/2006/main" count="90" uniqueCount="41">
  <si>
    <t>Мінімальний первинний внесок</t>
  </si>
  <si>
    <t>Вартість товарів та послуг, грн</t>
  </si>
  <si>
    <t>Пільговий період, міс</t>
  </si>
  <si>
    <t>Пільговий період</t>
  </si>
  <si>
    <t xml:space="preserve">Сума кредиту для оплати вартості товарів тапослуг, грн </t>
  </si>
  <si>
    <t>Періодична комісія в пільговий період</t>
  </si>
  <si>
    <t>-</t>
  </si>
  <si>
    <t>Періодична комісія після пільгового періоду</t>
  </si>
  <si>
    <t>Сума страхового платежу за перший рік</t>
  </si>
  <si>
    <t>Одноразова комісія за надання кредиту</t>
  </si>
  <si>
    <t>*Орієнтовно на дату розрахунку, конкретні умови кредитування будуть вказані в паспорті споживчого кредиту в день оформлення кредитної заявки, та можуть відрізнятись в залежності від обраного товару та магазину.</t>
  </si>
  <si>
    <t xml:space="preserve">Сума щомісячного платежу, грн </t>
  </si>
  <si>
    <t>Загальні витрати за кредитом, грн</t>
  </si>
  <si>
    <t>Орієнтовна загальна вартість кредиту, грн</t>
  </si>
  <si>
    <t>Реальна процентна ставка</t>
  </si>
  <si>
    <t>Дата платежу</t>
  </si>
  <si>
    <t>№ п/п</t>
  </si>
  <si>
    <t>Сума платежу за розрахунковий період, грн</t>
  </si>
  <si>
    <t>Сума погашення тіла кредиту, грн</t>
  </si>
  <si>
    <t>Проценти за користування кредитом, грн</t>
  </si>
  <si>
    <t>Щомісячна комісія, грн</t>
  </si>
  <si>
    <t>Комісія за надання кредиту, грн</t>
  </si>
  <si>
    <t>Послуги страховика, грн</t>
  </si>
  <si>
    <t>Сума боргу, грн</t>
  </si>
  <si>
    <t>Строк кредиту, міс</t>
  </si>
  <si>
    <t>Процентна ставка, річних</t>
  </si>
  <si>
    <t>Грошові потоки клієнта</t>
  </si>
  <si>
    <t>РЕЗУЛЬТАТ РОЗРАХУНКУ*</t>
  </si>
  <si>
    <t>*Приклад розрахунку носить виключно інформаційний характер.</t>
  </si>
  <si>
    <t>Для отримання розрахунку необхідно заповнити (обрати значення) комірки, 
що відображені сірим кольором.</t>
  </si>
  <si>
    <t xml:space="preserve">Загальна сума кредиту </t>
  </si>
  <si>
    <t>макс сума кредиту за умовами продукту</t>
  </si>
  <si>
    <t xml:space="preserve"> мінімальна вартість:
 1135 грн - для Кредиту з пільговим періодом 4 міс,
945 грн - для Кредиту з пільговим періодом 6 міс
</t>
  </si>
  <si>
    <t>ПЛТ</t>
  </si>
  <si>
    <t>Строк</t>
  </si>
  <si>
    <t>ПП</t>
  </si>
  <si>
    <t>мін сума</t>
  </si>
  <si>
    <t>розмір щоміс комісії</t>
  </si>
  <si>
    <t>10_10_12</t>
  </si>
  <si>
    <t xml:space="preserve">   максимальна загальна сума кредиту 200 000 грн</t>
  </si>
  <si>
    <t xml:space="preserve">КАЛЬКУЛЯТОР РОЗРАХУНКУ ЗАГАЛЬНОЇ ВАРТОСТІ КРЕДИТУ
за банквіським продуктом 
"Споживчий кредит на купівлю товарів та послуг 
в мережі магазинів «ЦИТРУС» 
в АТ «БАНК КРЕДИТ ДНІПРО»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</si>
</sst>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&quot;₴&quot;_-;\-* #,##0.00&quot;₴&quot;_-;_-* &quot;-&quot;??&quot;₴&quot;_-;_-@_-"/>
    <numFmt numFmtId="164" formatCode="#,##0.00&quot;₴&quot;"/>
    <numFmt numFmtId="165" formatCode="0.000%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9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164" fontId="2" fillId="3" borderId="12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4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wrapText="1"/>
      <protection hidden="1"/>
    </xf>
    <xf numFmtId="0" fontId="2" fillId="0" borderId="1" xfId="0" applyFont="1" applyBorder="1" applyProtection="1"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1" fillId="0" borderId="0" xfId="0" applyFont="1"/>
    <xf numFmtId="10" fontId="1" fillId="0" borderId="0" xfId="0" applyNumberFormat="1" applyFont="1"/>
    <xf numFmtId="0" fontId="1" fillId="0" borderId="0" xfId="0" applyFont="1" applyAlignment="1">
      <alignment wrapText="1"/>
    </xf>
    <xf numFmtId="164" fontId="2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3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  <protection hidden="1"/>
    </xf>
    <xf numFmtId="10" fontId="2" fillId="0" borderId="0" xfId="0" applyNumberFormat="1" applyFont="1"/>
    <xf numFmtId="165" fontId="3" fillId="0" borderId="14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Border="1" applyProtection="1">
      <protection hidden="1"/>
    </xf>
    <xf numFmtId="4" fontId="3" fillId="0" borderId="6" xfId="0" applyNumberFormat="1" applyFont="1" applyBorder="1" applyProtection="1">
      <protection hidden="1"/>
    </xf>
    <xf numFmtId="10" fontId="3" fillId="0" borderId="9" xfId="0" applyNumberFormat="1" applyFont="1" applyBorder="1" applyProtection="1">
      <protection hidden="1"/>
    </xf>
    <xf numFmtId="164" fontId="1" fillId="0" borderId="0" xfId="0" applyNumberFormat="1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9" fontId="2" fillId="0" borderId="0" xfId="0" applyNumberFormat="1" applyFont="1" applyFill="1" applyAlignment="1" applyProtection="1">
      <alignment horizontal="center"/>
      <protection hidden="1"/>
    </xf>
    <xf numFmtId="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Normal="100" workbookViewId="0">
      <selection activeCell="E4" sqref="E4:F4"/>
    </sheetView>
  </sheetViews>
  <sheetFormatPr defaultRowHeight="14.4" x14ac:dyDescent="0.3"/>
  <cols>
    <col min="1" max="1" width="6.33203125" style="4" customWidth="1"/>
    <col min="2" max="2" width="12.88671875" style="4" customWidth="1"/>
    <col min="3" max="3" width="12.77734375" style="4" customWidth="1"/>
    <col min="4" max="4" width="15.21875" style="4" customWidth="1"/>
    <col min="5" max="5" width="14.33203125" style="4" customWidth="1"/>
    <col min="6" max="6" width="16.5546875" style="4" customWidth="1"/>
    <col min="7" max="7" width="13" style="4" customWidth="1"/>
    <col min="8" max="8" width="13.88671875" style="4" customWidth="1"/>
    <col min="9" max="9" width="13.44140625" style="4" customWidth="1"/>
    <col min="10" max="10" width="11.109375" style="4" customWidth="1"/>
    <col min="11" max="11" width="8.88671875" style="4"/>
    <col min="12" max="12" width="8.88671875" style="4" customWidth="1"/>
    <col min="13" max="13" width="9.5546875" style="4" bestFit="1" customWidth="1"/>
    <col min="14" max="14" width="11.88671875" style="4" customWidth="1"/>
    <col min="15" max="15" width="9.5546875" style="4" bestFit="1" customWidth="1"/>
    <col min="16" max="16384" width="8.88671875" style="4"/>
  </cols>
  <sheetData>
    <row r="1" spans="1:19" ht="100.2" customHeight="1" x14ac:dyDescent="0.3">
      <c r="A1" s="61" t="s">
        <v>40</v>
      </c>
      <c r="B1" s="50"/>
      <c r="C1" s="50"/>
      <c r="D1" s="50"/>
      <c r="E1" s="50"/>
      <c r="F1" s="50"/>
    </row>
    <row r="2" spans="1:19" ht="31.8" customHeight="1" x14ac:dyDescent="0.3">
      <c r="A2" s="39" t="s">
        <v>29</v>
      </c>
      <c r="B2" s="40"/>
      <c r="C2" s="40"/>
      <c r="D2" s="40"/>
      <c r="E2" s="40"/>
      <c r="F2" s="40"/>
      <c r="N2" s="5"/>
    </row>
    <row r="3" spans="1:19" ht="15" customHeight="1" thickBot="1" x14ac:dyDescent="0.35">
      <c r="A3" s="39" t="s">
        <v>28</v>
      </c>
      <c r="B3" s="39"/>
      <c r="C3" s="39"/>
      <c r="D3" s="39"/>
      <c r="E3" s="39"/>
      <c r="F3" s="39"/>
    </row>
    <row r="4" spans="1:19" ht="39" customHeight="1" x14ac:dyDescent="0.3">
      <c r="A4" s="41" t="s">
        <v>1</v>
      </c>
      <c r="B4" s="42"/>
      <c r="C4" s="42"/>
      <c r="D4" s="42"/>
      <c r="E4" s="62">
        <v>24999</v>
      </c>
      <c r="F4" s="63"/>
      <c r="G4" s="54" t="s">
        <v>32</v>
      </c>
      <c r="H4" s="55"/>
      <c r="I4" s="55"/>
      <c r="J4" s="55"/>
      <c r="K4" s="55"/>
      <c r="L4" s="27" t="s">
        <v>31</v>
      </c>
      <c r="M4" s="28">
        <v>200000</v>
      </c>
      <c r="N4" s="28"/>
      <c r="O4" s="28"/>
      <c r="P4" s="14" t="s">
        <v>36</v>
      </c>
      <c r="Q4" s="14">
        <v>2500</v>
      </c>
      <c r="R4" s="14"/>
      <c r="S4" s="14"/>
    </row>
    <row r="5" spans="1:19" ht="15.6" x14ac:dyDescent="0.3">
      <c r="A5" s="51" t="s">
        <v>0</v>
      </c>
      <c r="B5" s="52"/>
      <c r="C5" s="52"/>
      <c r="D5" s="60">
        <v>0</v>
      </c>
      <c r="E5" s="59">
        <f>F5/E4</f>
        <v>0</v>
      </c>
      <c r="F5" s="1">
        <f>IF(E4&gt;=O9,(E4*((E4-O9)/E4)+O9*D5),(E4*D5))</f>
        <v>0</v>
      </c>
      <c r="G5" s="56"/>
      <c r="H5" s="56"/>
      <c r="I5" s="56"/>
      <c r="J5" s="56"/>
      <c r="K5" s="14"/>
      <c r="L5" s="14"/>
      <c r="M5" s="28"/>
      <c r="N5" s="28"/>
      <c r="O5" s="28"/>
      <c r="P5" s="14"/>
      <c r="Q5" s="14"/>
      <c r="R5" s="14"/>
      <c r="S5" s="14"/>
    </row>
    <row r="6" spans="1:19" ht="15.6" x14ac:dyDescent="0.3">
      <c r="A6" s="57" t="s">
        <v>4</v>
      </c>
      <c r="B6" s="52"/>
      <c r="C6" s="52"/>
      <c r="D6" s="52"/>
      <c r="E6" s="52"/>
      <c r="F6" s="17">
        <f>IF(E4&gt;=O9,(E4-(E4*((E4-O9)/E4)+O9*D5)),(E4-F5))</f>
        <v>24999</v>
      </c>
      <c r="G6" s="5"/>
      <c r="K6" s="14">
        <v>24</v>
      </c>
      <c r="L6" s="14">
        <v>4</v>
      </c>
      <c r="M6" s="28">
        <f>(M4-1300)/(1+6/100)</f>
        <v>187452.83018867925</v>
      </c>
      <c r="N6" s="28"/>
      <c r="O6" s="28"/>
      <c r="P6" s="14"/>
      <c r="Q6" s="14">
        <f>(Q4-1300)/(1+6/100)</f>
        <v>1132.0754716981132</v>
      </c>
      <c r="R6" s="14"/>
      <c r="S6" s="14"/>
    </row>
    <row r="7" spans="1:19" ht="15.6" x14ac:dyDescent="0.3">
      <c r="A7" s="35" t="s">
        <v>24</v>
      </c>
      <c r="B7" s="36"/>
      <c r="C7" s="36"/>
      <c r="D7" s="36"/>
      <c r="E7" s="36"/>
      <c r="F7" s="18">
        <v>24</v>
      </c>
      <c r="G7" s="5"/>
      <c r="K7" s="14">
        <v>24</v>
      </c>
      <c r="L7" s="14">
        <v>6</v>
      </c>
      <c r="M7" s="28">
        <f>(M4-1500)/(1+6/100)</f>
        <v>187264.15094339621</v>
      </c>
      <c r="N7" s="28"/>
      <c r="O7" s="28"/>
      <c r="P7" s="14"/>
      <c r="Q7" s="14">
        <f>(Q4-1500)/(1+6/100)</f>
        <v>943.39622641509425</v>
      </c>
      <c r="R7" s="14"/>
      <c r="S7" s="14"/>
    </row>
    <row r="8" spans="1:19" ht="15.6" x14ac:dyDescent="0.3">
      <c r="A8" s="35" t="s">
        <v>2</v>
      </c>
      <c r="B8" s="36"/>
      <c r="C8" s="36"/>
      <c r="D8" s="36"/>
      <c r="E8" s="36"/>
      <c r="F8" s="64">
        <v>12</v>
      </c>
      <c r="K8" s="14">
        <v>24</v>
      </c>
      <c r="L8" s="14" t="s">
        <v>38</v>
      </c>
      <c r="M8" s="28">
        <f>(M4-2100)/(1+7/100)</f>
        <v>184953.27102803739</v>
      </c>
      <c r="N8" s="28"/>
      <c r="O8" s="28"/>
      <c r="P8" s="14"/>
      <c r="Q8" s="14">
        <f>(Q4-2100)/(1+7/100)</f>
        <v>373.83177570093454</v>
      </c>
      <c r="R8" s="14"/>
      <c r="S8" s="14"/>
    </row>
    <row r="9" spans="1:19" ht="15.6" x14ac:dyDescent="0.3">
      <c r="A9" s="57" t="s">
        <v>9</v>
      </c>
      <c r="B9" s="52"/>
      <c r="C9" s="52"/>
      <c r="D9" s="52"/>
      <c r="E9" s="19">
        <f>IF(AND($F$7=24,$F$8&lt;10),0.06,0.07)</f>
        <v>7.0000000000000007E-2</v>
      </c>
      <c r="F9" s="17">
        <f>F6*E9</f>
        <v>1749.93</v>
      </c>
      <c r="G9" s="6"/>
      <c r="K9" s="14"/>
      <c r="L9" s="14"/>
      <c r="M9" s="28"/>
      <c r="N9" s="28"/>
      <c r="O9" s="28">
        <f>IF(F8=4,M6,IF(F8=6,M7,M8))</f>
        <v>184953.27102803739</v>
      </c>
      <c r="P9" s="14"/>
      <c r="Q9" s="14"/>
      <c r="R9" s="14"/>
      <c r="S9" s="14"/>
    </row>
    <row r="10" spans="1:19" ht="15.6" x14ac:dyDescent="0.3">
      <c r="A10" s="57" t="s">
        <v>8</v>
      </c>
      <c r="B10" s="52"/>
      <c r="C10" s="52"/>
      <c r="D10" s="52"/>
      <c r="E10" s="52"/>
      <c r="F10" s="17">
        <f>IF(F8=4,1300,IF(F8=6,1500,2100))</f>
        <v>2100</v>
      </c>
      <c r="L10" s="14"/>
      <c r="M10" s="14"/>
      <c r="N10" s="14"/>
      <c r="O10" s="14"/>
      <c r="P10" s="14"/>
      <c r="Q10" s="14"/>
      <c r="R10" s="14"/>
      <c r="S10" s="14"/>
    </row>
    <row r="11" spans="1:19" ht="15.6" x14ac:dyDescent="0.3">
      <c r="A11" s="35" t="s">
        <v>30</v>
      </c>
      <c r="B11" s="36"/>
      <c r="C11" s="36"/>
      <c r="D11" s="36"/>
      <c r="E11" s="58"/>
      <c r="F11" s="2">
        <f>IF((F6+F9+F10)&gt;=200000.01,200000,(F6+F9+F10))</f>
        <v>28848.93</v>
      </c>
      <c r="G11" s="53" t="s">
        <v>39</v>
      </c>
      <c r="H11" s="53"/>
      <c r="I11" s="53"/>
      <c r="L11" s="14"/>
      <c r="M11" s="14"/>
      <c r="N11" s="14"/>
      <c r="O11" s="14"/>
      <c r="P11" s="14"/>
      <c r="Q11" s="14"/>
      <c r="R11" s="14"/>
      <c r="S11" s="14"/>
    </row>
    <row r="12" spans="1:19" ht="15.6" x14ac:dyDescent="0.3">
      <c r="A12" s="57" t="s">
        <v>5</v>
      </c>
      <c r="B12" s="52"/>
      <c r="C12" s="52"/>
      <c r="D12" s="52"/>
      <c r="E12" s="19">
        <v>0</v>
      </c>
      <c r="F12" s="17">
        <v>0</v>
      </c>
      <c r="G12" s="7"/>
      <c r="L12" s="14"/>
      <c r="M12" s="14"/>
      <c r="N12" s="14"/>
      <c r="O12" s="14"/>
      <c r="P12" s="14"/>
      <c r="Q12" s="14"/>
      <c r="R12" s="14"/>
      <c r="S12" s="14"/>
    </row>
    <row r="13" spans="1:19" ht="15.6" x14ac:dyDescent="0.3">
      <c r="A13" s="35" t="s">
        <v>7</v>
      </c>
      <c r="B13" s="36"/>
      <c r="C13" s="36"/>
      <c r="D13" s="36"/>
      <c r="E13" s="20">
        <f>SUMIFS(R14:R17,P14:P17,F7,Q14:Q17,F8)</f>
        <v>3.5000000000000003E-2</v>
      </c>
      <c r="F13" s="21">
        <f>(F6+F9+F10)*E13</f>
        <v>1009.7125500000001</v>
      </c>
      <c r="K13" s="22"/>
      <c r="L13" s="14" t="s">
        <v>34</v>
      </c>
      <c r="M13" s="14" t="s">
        <v>35</v>
      </c>
      <c r="N13" s="14" t="s">
        <v>33</v>
      </c>
      <c r="O13" s="14"/>
      <c r="P13" s="14" t="s">
        <v>34</v>
      </c>
      <c r="Q13" s="14" t="s">
        <v>35</v>
      </c>
      <c r="R13" s="14" t="s">
        <v>37</v>
      </c>
      <c r="S13" s="14"/>
    </row>
    <row r="14" spans="1:19" ht="16.2" thickBot="1" x14ac:dyDescent="0.35">
      <c r="A14" s="37" t="s">
        <v>25</v>
      </c>
      <c r="B14" s="38"/>
      <c r="C14" s="38"/>
      <c r="D14" s="38"/>
      <c r="E14" s="38"/>
      <c r="F14" s="23">
        <f>IF(F8=4,0.001%,IF(F8=6,0.01%,IF(F8=12,0.01%,0.001%)))</f>
        <v>1E-4</v>
      </c>
      <c r="K14" s="22"/>
      <c r="L14" s="14">
        <v>24</v>
      </c>
      <c r="M14" s="14">
        <v>4</v>
      </c>
      <c r="N14" s="15">
        <v>6.6670999999999994E-2</v>
      </c>
      <c r="O14" s="14"/>
      <c r="P14" s="14">
        <v>24</v>
      </c>
      <c r="Q14" s="14">
        <v>4</v>
      </c>
      <c r="R14" s="15">
        <v>0.03</v>
      </c>
      <c r="S14" s="14"/>
    </row>
    <row r="15" spans="1:19" x14ac:dyDescent="0.3">
      <c r="A15" s="33" t="s">
        <v>33</v>
      </c>
      <c r="B15" s="33"/>
      <c r="C15" s="33"/>
      <c r="D15" s="33"/>
      <c r="E15" s="33"/>
      <c r="F15" s="15">
        <f>SUMIFS(N14:N17,L14:L17,F7,M14:M17,F8)</f>
        <v>5.917E-2</v>
      </c>
      <c r="K15" s="22"/>
      <c r="L15" s="14">
        <v>24</v>
      </c>
      <c r="M15" s="14">
        <v>6</v>
      </c>
      <c r="N15" s="15">
        <v>6.4189999999999997E-2</v>
      </c>
      <c r="O15" s="14"/>
      <c r="P15" s="14">
        <v>24</v>
      </c>
      <c r="Q15" s="14">
        <v>6</v>
      </c>
      <c r="R15" s="15">
        <v>0.03</v>
      </c>
      <c r="S15" s="14"/>
    </row>
    <row r="16" spans="1:19" ht="18" x14ac:dyDescent="0.3">
      <c r="A16" s="50" t="s">
        <v>27</v>
      </c>
      <c r="B16" s="50"/>
      <c r="C16" s="50"/>
      <c r="D16" s="50"/>
      <c r="E16" s="50"/>
      <c r="F16" s="50"/>
      <c r="L16" s="14">
        <v>24</v>
      </c>
      <c r="M16" s="14">
        <v>10</v>
      </c>
      <c r="N16" s="15">
        <v>6.2100000000000002E-2</v>
      </c>
      <c r="O16" s="14"/>
      <c r="P16" s="14">
        <v>24</v>
      </c>
      <c r="Q16" s="14">
        <v>10</v>
      </c>
      <c r="R16" s="15">
        <v>3.5000000000000003E-2</v>
      </c>
      <c r="S16" s="14"/>
    </row>
    <row r="17" spans="1:19" ht="48.6" customHeight="1" thickBot="1" x14ac:dyDescent="0.35">
      <c r="A17" s="43" t="s">
        <v>10</v>
      </c>
      <c r="B17" s="43"/>
      <c r="C17" s="43"/>
      <c r="D17" s="43"/>
      <c r="E17" s="43"/>
      <c r="F17" s="43"/>
      <c r="L17" s="14">
        <v>24</v>
      </c>
      <c r="M17" s="14">
        <v>12</v>
      </c>
      <c r="N17" s="15">
        <v>5.917E-2</v>
      </c>
      <c r="O17" s="14"/>
      <c r="P17" s="14">
        <v>24</v>
      </c>
      <c r="Q17" s="14">
        <v>12</v>
      </c>
      <c r="R17" s="15">
        <v>3.5000000000000003E-2</v>
      </c>
      <c r="S17" s="14"/>
    </row>
    <row r="18" spans="1:19" x14ac:dyDescent="0.3">
      <c r="A18" s="44" t="s">
        <v>11</v>
      </c>
      <c r="B18" s="45"/>
      <c r="C18" s="45"/>
      <c r="D18" s="45"/>
      <c r="E18" s="45"/>
      <c r="F18" s="24">
        <f>D25</f>
        <v>1706.99</v>
      </c>
      <c r="L18" s="14"/>
      <c r="M18" s="14"/>
      <c r="N18" s="14"/>
      <c r="O18" s="14"/>
      <c r="P18" s="14"/>
      <c r="Q18" s="14"/>
      <c r="R18" s="14"/>
      <c r="S18" s="14"/>
    </row>
    <row r="19" spans="1:19" x14ac:dyDescent="0.3">
      <c r="A19" s="46" t="s">
        <v>12</v>
      </c>
      <c r="B19" s="47"/>
      <c r="C19" s="47"/>
      <c r="D19" s="47"/>
      <c r="E19" s="47"/>
      <c r="F19" s="25">
        <f>F49+G49+H49+I49</f>
        <v>18068.8806</v>
      </c>
      <c r="L19" s="14"/>
      <c r="M19" s="14"/>
      <c r="N19" s="14"/>
      <c r="O19" s="14"/>
      <c r="P19" s="14"/>
      <c r="Q19" s="14"/>
      <c r="R19" s="14"/>
      <c r="S19" s="14"/>
    </row>
    <row r="20" spans="1:19" x14ac:dyDescent="0.3">
      <c r="A20" s="46" t="s">
        <v>13</v>
      </c>
      <c r="B20" s="47"/>
      <c r="C20" s="47"/>
      <c r="D20" s="47"/>
      <c r="E20" s="47"/>
      <c r="F20" s="25">
        <f>F19+C24</f>
        <v>46917.810599999997</v>
      </c>
    </row>
    <row r="21" spans="1:19" ht="15" thickBot="1" x14ac:dyDescent="0.35">
      <c r="A21" s="48" t="s">
        <v>14</v>
      </c>
      <c r="B21" s="49"/>
      <c r="C21" s="49"/>
      <c r="D21" s="49"/>
      <c r="E21" s="49"/>
      <c r="F21" s="26">
        <f>XIRR(J24:J48,B24:B48)</f>
        <v>0.76980475187301645</v>
      </c>
    </row>
    <row r="22" spans="1:19" x14ac:dyDescent="0.3">
      <c r="A22" s="34"/>
      <c r="B22" s="34"/>
      <c r="C22" s="34"/>
      <c r="D22" s="34"/>
      <c r="E22" s="34"/>
      <c r="F22" s="34"/>
      <c r="G22" s="34"/>
      <c r="H22" s="34"/>
      <c r="I22" s="34"/>
    </row>
    <row r="23" spans="1:19" ht="43.2" x14ac:dyDescent="0.3">
      <c r="A23" s="8" t="s">
        <v>16</v>
      </c>
      <c r="B23" s="8" t="s">
        <v>15</v>
      </c>
      <c r="C23" s="8" t="s">
        <v>23</v>
      </c>
      <c r="D23" s="8" t="s">
        <v>17</v>
      </c>
      <c r="E23" s="8" t="s">
        <v>18</v>
      </c>
      <c r="F23" s="8" t="s">
        <v>19</v>
      </c>
      <c r="G23" s="8" t="s">
        <v>20</v>
      </c>
      <c r="H23" s="8" t="s">
        <v>21</v>
      </c>
      <c r="I23" s="8" t="s">
        <v>22</v>
      </c>
      <c r="J23" s="29" t="s">
        <v>26</v>
      </c>
    </row>
    <row r="24" spans="1:19" x14ac:dyDescent="0.3">
      <c r="A24" s="9">
        <v>0</v>
      </c>
      <c r="B24" s="10">
        <v>44927</v>
      </c>
      <c r="C24" s="11">
        <f>F11</f>
        <v>28848.93</v>
      </c>
      <c r="D24" s="11">
        <f>-C24</f>
        <v>-28848.93</v>
      </c>
      <c r="E24" s="11">
        <f>D24</f>
        <v>-28848.93</v>
      </c>
      <c r="F24" s="11"/>
      <c r="G24" s="11"/>
      <c r="H24" s="11">
        <f>F9</f>
        <v>1749.93</v>
      </c>
      <c r="I24" s="11">
        <f>F10</f>
        <v>2100</v>
      </c>
      <c r="J24" s="30">
        <f>SUM(E24:I24)</f>
        <v>-24999</v>
      </c>
      <c r="K24" s="3"/>
      <c r="L24" s="3"/>
      <c r="M24" s="3"/>
      <c r="N24" s="3"/>
      <c r="O24" s="3"/>
    </row>
    <row r="25" spans="1:19" x14ac:dyDescent="0.3">
      <c r="A25" s="12">
        <v>1</v>
      </c>
      <c r="B25" s="10">
        <v>44958</v>
      </c>
      <c r="C25" s="13">
        <f>C24-E25</f>
        <v>27142.18</v>
      </c>
      <c r="D25" s="13">
        <f>E25+F25+G25</f>
        <v>1706.99</v>
      </c>
      <c r="E25" s="13">
        <f>IF(A25=$F$7,C24,MIN(C24,ROUND($C$24*$F$15,2)-F25-G25))</f>
        <v>1706.75</v>
      </c>
      <c r="F25" s="13">
        <f>ROUND(C24*$F$14/12,2)</f>
        <v>0.24</v>
      </c>
      <c r="G25" s="13">
        <f t="shared" ref="G25:G48" si="0">IF(A25&lt;=$F$8,0,IF(A25&gt;=$F$8,($E$13*$C$24)))</f>
        <v>0</v>
      </c>
      <c r="H25" s="13" t="s">
        <v>6</v>
      </c>
      <c r="I25" s="13" t="s">
        <v>6</v>
      </c>
      <c r="J25" s="30">
        <f>SUM(E25:I25)</f>
        <v>1706.99</v>
      </c>
      <c r="K25" s="3"/>
      <c r="L25" s="3"/>
      <c r="M25" s="3"/>
      <c r="N25" s="3"/>
      <c r="O25" s="3"/>
    </row>
    <row r="26" spans="1:19" x14ac:dyDescent="0.3">
      <c r="A26" s="12">
        <v>2</v>
      </c>
      <c r="B26" s="10">
        <v>44986</v>
      </c>
      <c r="C26" s="13">
        <f t="shared" ref="C26:C48" si="1">C25-E26</f>
        <v>25435.420000000002</v>
      </c>
      <c r="D26" s="13">
        <f t="shared" ref="D26:D48" si="2">E26+F26+G26</f>
        <v>1706.99</v>
      </c>
      <c r="E26" s="13">
        <f t="shared" ref="E26:E48" si="3">IF(A26=$F$7,C25,MIN(C25,ROUND($C$24*$F$15,2)-F26-G26))</f>
        <v>1706.76</v>
      </c>
      <c r="F26" s="13">
        <f t="shared" ref="F26:F48" si="4">ROUND(C25*$F$14/12,2)</f>
        <v>0.23</v>
      </c>
      <c r="G26" s="13">
        <f t="shared" si="0"/>
        <v>0</v>
      </c>
      <c r="H26" s="13" t="s">
        <v>6</v>
      </c>
      <c r="I26" s="13" t="s">
        <v>6</v>
      </c>
      <c r="J26" s="30">
        <f t="shared" ref="J26:J48" si="5">SUM(E26:I26)</f>
        <v>1706.99</v>
      </c>
      <c r="K26" s="3"/>
      <c r="L26" s="3"/>
      <c r="M26" s="3"/>
      <c r="N26" s="3"/>
      <c r="O26" s="3"/>
    </row>
    <row r="27" spans="1:19" x14ac:dyDescent="0.3">
      <c r="A27" s="12">
        <v>3</v>
      </c>
      <c r="B27" s="10">
        <v>45017</v>
      </c>
      <c r="C27" s="13">
        <f t="shared" si="1"/>
        <v>23728.640000000003</v>
      </c>
      <c r="D27" s="13">
        <f t="shared" si="2"/>
        <v>1706.99</v>
      </c>
      <c r="E27" s="13">
        <f t="shared" si="3"/>
        <v>1706.78</v>
      </c>
      <c r="F27" s="13">
        <f t="shared" si="4"/>
        <v>0.21</v>
      </c>
      <c r="G27" s="13">
        <f t="shared" si="0"/>
        <v>0</v>
      </c>
      <c r="H27" s="13" t="s">
        <v>6</v>
      </c>
      <c r="I27" s="13" t="s">
        <v>6</v>
      </c>
      <c r="J27" s="30">
        <f t="shared" si="5"/>
        <v>1706.99</v>
      </c>
      <c r="K27" s="3"/>
      <c r="L27" s="3"/>
      <c r="M27" s="3"/>
      <c r="N27" s="3"/>
      <c r="O27" s="3"/>
    </row>
    <row r="28" spans="1:19" x14ac:dyDescent="0.3">
      <c r="A28" s="12">
        <v>4</v>
      </c>
      <c r="B28" s="10">
        <v>45047</v>
      </c>
      <c r="C28" s="13">
        <f t="shared" si="1"/>
        <v>22021.850000000002</v>
      </c>
      <c r="D28" s="13">
        <f t="shared" si="2"/>
        <v>1706.99</v>
      </c>
      <c r="E28" s="13">
        <f t="shared" si="3"/>
        <v>1706.79</v>
      </c>
      <c r="F28" s="13">
        <f t="shared" si="4"/>
        <v>0.2</v>
      </c>
      <c r="G28" s="13">
        <f t="shared" si="0"/>
        <v>0</v>
      </c>
      <c r="H28" s="13" t="s">
        <v>6</v>
      </c>
      <c r="I28" s="13" t="s">
        <v>6</v>
      </c>
      <c r="J28" s="30">
        <f t="shared" si="5"/>
        <v>1706.99</v>
      </c>
      <c r="K28" s="3"/>
      <c r="L28" s="3"/>
      <c r="M28" s="3"/>
      <c r="N28" s="3"/>
      <c r="O28" s="3"/>
    </row>
    <row r="29" spans="1:19" x14ac:dyDescent="0.3">
      <c r="A29" s="12">
        <v>5</v>
      </c>
      <c r="B29" s="10">
        <v>45078</v>
      </c>
      <c r="C29" s="13">
        <f t="shared" si="1"/>
        <v>20315.04</v>
      </c>
      <c r="D29" s="13">
        <f t="shared" si="2"/>
        <v>1706.99</v>
      </c>
      <c r="E29" s="13">
        <f t="shared" si="3"/>
        <v>1706.81</v>
      </c>
      <c r="F29" s="13">
        <f t="shared" si="4"/>
        <v>0.18</v>
      </c>
      <c r="G29" s="13">
        <f t="shared" si="0"/>
        <v>0</v>
      </c>
      <c r="H29" s="13" t="s">
        <v>6</v>
      </c>
      <c r="I29" s="13" t="s">
        <v>6</v>
      </c>
      <c r="J29" s="30">
        <f t="shared" si="5"/>
        <v>1706.99</v>
      </c>
      <c r="K29" s="3"/>
      <c r="L29" s="3"/>
      <c r="M29" s="3"/>
      <c r="N29" s="3"/>
      <c r="O29" s="3"/>
    </row>
    <row r="30" spans="1:19" x14ac:dyDescent="0.3">
      <c r="A30" s="12">
        <v>6</v>
      </c>
      <c r="B30" s="10">
        <v>45108</v>
      </c>
      <c r="C30" s="13">
        <f t="shared" si="1"/>
        <v>18608.22</v>
      </c>
      <c r="D30" s="13">
        <f t="shared" si="2"/>
        <v>1706.99</v>
      </c>
      <c r="E30" s="13">
        <f t="shared" si="3"/>
        <v>1706.82</v>
      </c>
      <c r="F30" s="13">
        <f t="shared" si="4"/>
        <v>0.17</v>
      </c>
      <c r="G30" s="13">
        <f t="shared" si="0"/>
        <v>0</v>
      </c>
      <c r="H30" s="13" t="s">
        <v>6</v>
      </c>
      <c r="I30" s="13" t="s">
        <v>6</v>
      </c>
      <c r="J30" s="30">
        <f t="shared" si="5"/>
        <v>1706.99</v>
      </c>
      <c r="K30" s="3"/>
      <c r="L30" s="3"/>
      <c r="M30" s="3"/>
      <c r="N30" s="3"/>
      <c r="O30" s="3"/>
    </row>
    <row r="31" spans="1:19" x14ac:dyDescent="0.3">
      <c r="A31" s="12">
        <v>7</v>
      </c>
      <c r="B31" s="10">
        <v>45139</v>
      </c>
      <c r="C31" s="13">
        <f t="shared" si="1"/>
        <v>16901.39</v>
      </c>
      <c r="D31" s="13">
        <f t="shared" si="2"/>
        <v>1706.99</v>
      </c>
      <c r="E31" s="13">
        <f t="shared" si="3"/>
        <v>1706.83</v>
      </c>
      <c r="F31" s="13">
        <f t="shared" si="4"/>
        <v>0.16</v>
      </c>
      <c r="G31" s="13">
        <f t="shared" si="0"/>
        <v>0</v>
      </c>
      <c r="H31" s="13" t="s">
        <v>6</v>
      </c>
      <c r="I31" s="13" t="s">
        <v>6</v>
      </c>
      <c r="J31" s="30">
        <f t="shared" si="5"/>
        <v>1706.99</v>
      </c>
      <c r="K31" s="3"/>
      <c r="L31" s="3"/>
      <c r="M31" s="3"/>
      <c r="N31" s="3"/>
      <c r="O31" s="3"/>
    </row>
    <row r="32" spans="1:19" x14ac:dyDescent="0.3">
      <c r="A32" s="12">
        <v>8</v>
      </c>
      <c r="B32" s="10">
        <v>45170</v>
      </c>
      <c r="C32" s="13">
        <f t="shared" si="1"/>
        <v>15194.539999999999</v>
      </c>
      <c r="D32" s="13">
        <f t="shared" si="2"/>
        <v>1706.99</v>
      </c>
      <c r="E32" s="13">
        <f t="shared" si="3"/>
        <v>1706.85</v>
      </c>
      <c r="F32" s="13">
        <f t="shared" si="4"/>
        <v>0.14000000000000001</v>
      </c>
      <c r="G32" s="13">
        <f t="shared" si="0"/>
        <v>0</v>
      </c>
      <c r="H32" s="13" t="s">
        <v>6</v>
      </c>
      <c r="I32" s="13" t="s">
        <v>6</v>
      </c>
      <c r="J32" s="30">
        <f t="shared" si="5"/>
        <v>1706.99</v>
      </c>
      <c r="K32" s="3"/>
      <c r="L32" s="3"/>
      <c r="M32" s="3"/>
      <c r="N32" s="3"/>
      <c r="O32" s="3"/>
    </row>
    <row r="33" spans="1:15" x14ac:dyDescent="0.3">
      <c r="A33" s="12">
        <v>9</v>
      </c>
      <c r="B33" s="10">
        <v>45200</v>
      </c>
      <c r="C33" s="13">
        <f t="shared" si="1"/>
        <v>13487.679999999998</v>
      </c>
      <c r="D33" s="13">
        <f t="shared" si="2"/>
        <v>1706.99</v>
      </c>
      <c r="E33" s="13">
        <f t="shared" si="3"/>
        <v>1706.86</v>
      </c>
      <c r="F33" s="13">
        <f t="shared" si="4"/>
        <v>0.13</v>
      </c>
      <c r="G33" s="13">
        <f t="shared" si="0"/>
        <v>0</v>
      </c>
      <c r="H33" s="13" t="s">
        <v>6</v>
      </c>
      <c r="I33" s="13" t="s">
        <v>6</v>
      </c>
      <c r="J33" s="30">
        <f t="shared" si="5"/>
        <v>1706.99</v>
      </c>
      <c r="K33" s="3"/>
      <c r="L33" s="3"/>
      <c r="M33" s="3"/>
      <c r="N33" s="3"/>
      <c r="O33" s="3"/>
    </row>
    <row r="34" spans="1:15" x14ac:dyDescent="0.3">
      <c r="A34" s="12">
        <v>10</v>
      </c>
      <c r="B34" s="10">
        <v>45231</v>
      </c>
      <c r="C34" s="13">
        <f t="shared" si="1"/>
        <v>11780.8</v>
      </c>
      <c r="D34" s="13">
        <f t="shared" si="2"/>
        <v>1706.99</v>
      </c>
      <c r="E34" s="13">
        <f t="shared" si="3"/>
        <v>1706.88</v>
      </c>
      <c r="F34" s="13">
        <f t="shared" si="4"/>
        <v>0.11</v>
      </c>
      <c r="G34" s="13">
        <f t="shared" si="0"/>
        <v>0</v>
      </c>
      <c r="H34" s="13" t="s">
        <v>6</v>
      </c>
      <c r="I34" s="13" t="s">
        <v>6</v>
      </c>
      <c r="J34" s="30">
        <f t="shared" si="5"/>
        <v>1706.99</v>
      </c>
      <c r="K34" s="3"/>
      <c r="L34" s="3"/>
      <c r="M34" s="3"/>
      <c r="N34" s="3"/>
      <c r="O34" s="3"/>
    </row>
    <row r="35" spans="1:15" x14ac:dyDescent="0.3">
      <c r="A35" s="12">
        <v>11</v>
      </c>
      <c r="B35" s="10">
        <v>45261</v>
      </c>
      <c r="C35" s="13">
        <f t="shared" si="1"/>
        <v>10073.91</v>
      </c>
      <c r="D35" s="13">
        <f t="shared" si="2"/>
        <v>1706.99</v>
      </c>
      <c r="E35" s="13">
        <f t="shared" si="3"/>
        <v>1706.89</v>
      </c>
      <c r="F35" s="13">
        <f t="shared" si="4"/>
        <v>0.1</v>
      </c>
      <c r="G35" s="13">
        <f t="shared" si="0"/>
        <v>0</v>
      </c>
      <c r="H35" s="13" t="s">
        <v>6</v>
      </c>
      <c r="I35" s="13" t="s">
        <v>6</v>
      </c>
      <c r="J35" s="30">
        <f t="shared" si="5"/>
        <v>1706.99</v>
      </c>
      <c r="K35" s="3"/>
      <c r="L35" s="3"/>
      <c r="M35" s="3"/>
      <c r="N35" s="3"/>
      <c r="O35" s="3"/>
    </row>
    <row r="36" spans="1:15" x14ac:dyDescent="0.3">
      <c r="A36" s="12">
        <v>12</v>
      </c>
      <c r="B36" s="10">
        <v>45292</v>
      </c>
      <c r="C36" s="13">
        <f t="shared" si="1"/>
        <v>8367</v>
      </c>
      <c r="D36" s="13">
        <f t="shared" si="2"/>
        <v>1706.99</v>
      </c>
      <c r="E36" s="13">
        <f t="shared" si="3"/>
        <v>1706.91</v>
      </c>
      <c r="F36" s="13">
        <f t="shared" si="4"/>
        <v>0.08</v>
      </c>
      <c r="G36" s="13">
        <f t="shared" si="0"/>
        <v>0</v>
      </c>
      <c r="H36" s="13" t="s">
        <v>6</v>
      </c>
      <c r="I36" s="13" t="s">
        <v>6</v>
      </c>
      <c r="J36" s="30">
        <f t="shared" si="5"/>
        <v>1706.99</v>
      </c>
      <c r="K36" s="3"/>
      <c r="L36" s="3"/>
      <c r="M36" s="3"/>
      <c r="N36" s="3"/>
      <c r="O36" s="3"/>
    </row>
    <row r="37" spans="1:15" x14ac:dyDescent="0.3">
      <c r="A37" s="12">
        <v>13</v>
      </c>
      <c r="B37" s="10">
        <v>45323</v>
      </c>
      <c r="C37" s="13">
        <f t="shared" si="1"/>
        <v>7669.7925500000001</v>
      </c>
      <c r="D37" s="13">
        <f t="shared" si="2"/>
        <v>1706.9900000000002</v>
      </c>
      <c r="E37" s="13">
        <f t="shared" si="3"/>
        <v>697.20744999999999</v>
      </c>
      <c r="F37" s="13">
        <f t="shared" si="4"/>
        <v>7.0000000000000007E-2</v>
      </c>
      <c r="G37" s="13">
        <f t="shared" si="0"/>
        <v>1009.7125500000001</v>
      </c>
      <c r="H37" s="13" t="s">
        <v>6</v>
      </c>
      <c r="I37" s="13">
        <f>F10</f>
        <v>2100</v>
      </c>
      <c r="J37" s="30">
        <f t="shared" si="5"/>
        <v>3806.9900000000002</v>
      </c>
      <c r="K37" s="3"/>
      <c r="L37" s="3"/>
      <c r="M37" s="3"/>
      <c r="N37" s="3"/>
      <c r="O37" s="3"/>
    </row>
    <row r="38" spans="1:15" x14ac:dyDescent="0.3">
      <c r="A38" s="12">
        <v>14</v>
      </c>
      <c r="B38" s="10">
        <v>45352</v>
      </c>
      <c r="C38" s="13">
        <f t="shared" si="1"/>
        <v>6972.5751</v>
      </c>
      <c r="D38" s="13">
        <f t="shared" si="2"/>
        <v>1706.99</v>
      </c>
      <c r="E38" s="13">
        <f t="shared" si="3"/>
        <v>697.21744999999999</v>
      </c>
      <c r="F38" s="13">
        <f t="shared" si="4"/>
        <v>0.06</v>
      </c>
      <c r="G38" s="13">
        <f t="shared" si="0"/>
        <v>1009.7125500000001</v>
      </c>
      <c r="H38" s="13" t="s">
        <v>6</v>
      </c>
      <c r="I38" s="13" t="s">
        <v>6</v>
      </c>
      <c r="J38" s="30">
        <f t="shared" si="5"/>
        <v>1706.99</v>
      </c>
      <c r="K38" s="3"/>
      <c r="L38" s="3"/>
      <c r="M38" s="3"/>
      <c r="N38" s="3"/>
      <c r="O38" s="3"/>
    </row>
    <row r="39" spans="1:15" x14ac:dyDescent="0.3">
      <c r="A39" s="12">
        <v>15</v>
      </c>
      <c r="B39" s="10">
        <v>45383</v>
      </c>
      <c r="C39" s="13">
        <f t="shared" si="1"/>
        <v>6275.3576499999999</v>
      </c>
      <c r="D39" s="13">
        <f t="shared" si="2"/>
        <v>1706.99</v>
      </c>
      <c r="E39" s="13">
        <f t="shared" si="3"/>
        <v>697.21744999999999</v>
      </c>
      <c r="F39" s="13">
        <f t="shared" si="4"/>
        <v>0.06</v>
      </c>
      <c r="G39" s="13">
        <f t="shared" si="0"/>
        <v>1009.7125500000001</v>
      </c>
      <c r="H39" s="13" t="s">
        <v>6</v>
      </c>
      <c r="I39" s="13" t="s">
        <v>6</v>
      </c>
      <c r="J39" s="30">
        <f t="shared" si="5"/>
        <v>1706.99</v>
      </c>
      <c r="K39" s="3"/>
      <c r="L39" s="3"/>
      <c r="M39" s="3"/>
      <c r="N39" s="3"/>
      <c r="O39" s="3"/>
    </row>
    <row r="40" spans="1:15" x14ac:dyDescent="0.3">
      <c r="A40" s="12">
        <v>16</v>
      </c>
      <c r="B40" s="10">
        <v>45413</v>
      </c>
      <c r="C40" s="13">
        <f t="shared" si="1"/>
        <v>5578.1301999999996</v>
      </c>
      <c r="D40" s="13">
        <f t="shared" si="2"/>
        <v>1706.99</v>
      </c>
      <c r="E40" s="13">
        <f t="shared" si="3"/>
        <v>697.22744999999998</v>
      </c>
      <c r="F40" s="13">
        <f t="shared" si="4"/>
        <v>0.05</v>
      </c>
      <c r="G40" s="13">
        <f t="shared" si="0"/>
        <v>1009.7125500000001</v>
      </c>
      <c r="H40" s="13" t="s">
        <v>6</v>
      </c>
      <c r="I40" s="13" t="s">
        <v>6</v>
      </c>
      <c r="J40" s="30">
        <f t="shared" si="5"/>
        <v>1706.99</v>
      </c>
      <c r="K40" s="3"/>
      <c r="L40" s="3"/>
      <c r="M40" s="3"/>
      <c r="N40" s="3"/>
      <c r="O40" s="3"/>
    </row>
    <row r="41" spans="1:15" x14ac:dyDescent="0.3">
      <c r="A41" s="12">
        <v>17</v>
      </c>
      <c r="B41" s="10">
        <v>45444</v>
      </c>
      <c r="C41" s="13">
        <f t="shared" si="1"/>
        <v>4880.9027499999993</v>
      </c>
      <c r="D41" s="13">
        <f t="shared" si="2"/>
        <v>1706.99</v>
      </c>
      <c r="E41" s="13">
        <f t="shared" si="3"/>
        <v>697.22744999999998</v>
      </c>
      <c r="F41" s="13">
        <f t="shared" si="4"/>
        <v>0.05</v>
      </c>
      <c r="G41" s="13">
        <f t="shared" si="0"/>
        <v>1009.7125500000001</v>
      </c>
      <c r="H41" s="13" t="s">
        <v>6</v>
      </c>
      <c r="I41" s="13" t="s">
        <v>6</v>
      </c>
      <c r="J41" s="30">
        <f t="shared" si="5"/>
        <v>1706.99</v>
      </c>
      <c r="K41" s="3"/>
      <c r="L41" s="3"/>
      <c r="M41" s="3"/>
      <c r="N41" s="3"/>
      <c r="O41" s="3"/>
    </row>
    <row r="42" spans="1:15" x14ac:dyDescent="0.3">
      <c r="A42" s="12">
        <v>18</v>
      </c>
      <c r="B42" s="10">
        <v>45474</v>
      </c>
      <c r="C42" s="13">
        <f t="shared" si="1"/>
        <v>4183.6652999999997</v>
      </c>
      <c r="D42" s="13">
        <f t="shared" si="2"/>
        <v>1706.99</v>
      </c>
      <c r="E42" s="13">
        <f t="shared" si="3"/>
        <v>697.23744999999997</v>
      </c>
      <c r="F42" s="13">
        <f t="shared" si="4"/>
        <v>0.04</v>
      </c>
      <c r="G42" s="13">
        <f t="shared" si="0"/>
        <v>1009.7125500000001</v>
      </c>
      <c r="H42" s="13" t="s">
        <v>6</v>
      </c>
      <c r="I42" s="13" t="s">
        <v>6</v>
      </c>
      <c r="J42" s="30">
        <f t="shared" si="5"/>
        <v>1706.99</v>
      </c>
      <c r="K42" s="3"/>
      <c r="L42" s="3"/>
      <c r="M42" s="3"/>
      <c r="N42" s="3"/>
      <c r="O42" s="3"/>
    </row>
    <row r="43" spans="1:15" x14ac:dyDescent="0.3">
      <c r="A43" s="12">
        <v>19</v>
      </c>
      <c r="B43" s="10">
        <v>45505</v>
      </c>
      <c r="C43" s="13">
        <f t="shared" si="1"/>
        <v>3486.4178499999998</v>
      </c>
      <c r="D43" s="13">
        <f t="shared" si="2"/>
        <v>1706.99</v>
      </c>
      <c r="E43" s="13">
        <f t="shared" si="3"/>
        <v>697.24744999999996</v>
      </c>
      <c r="F43" s="13">
        <f t="shared" si="4"/>
        <v>0.03</v>
      </c>
      <c r="G43" s="13">
        <f t="shared" si="0"/>
        <v>1009.7125500000001</v>
      </c>
      <c r="H43" s="13" t="s">
        <v>6</v>
      </c>
      <c r="I43" s="13" t="s">
        <v>6</v>
      </c>
      <c r="J43" s="30">
        <f t="shared" si="5"/>
        <v>1706.99</v>
      </c>
      <c r="K43" s="3"/>
      <c r="L43" s="3"/>
      <c r="M43" s="3"/>
      <c r="N43" s="3"/>
      <c r="O43" s="3"/>
    </row>
    <row r="44" spans="1:15" x14ac:dyDescent="0.3">
      <c r="A44" s="12">
        <v>20</v>
      </c>
      <c r="B44" s="10">
        <v>45536</v>
      </c>
      <c r="C44" s="13">
        <f t="shared" si="1"/>
        <v>2789.1704</v>
      </c>
      <c r="D44" s="13">
        <f t="shared" si="2"/>
        <v>1706.99</v>
      </c>
      <c r="E44" s="13">
        <f t="shared" si="3"/>
        <v>697.24744999999996</v>
      </c>
      <c r="F44" s="13">
        <f t="shared" si="4"/>
        <v>0.03</v>
      </c>
      <c r="G44" s="13">
        <f t="shared" si="0"/>
        <v>1009.7125500000001</v>
      </c>
      <c r="H44" s="13" t="s">
        <v>6</v>
      </c>
      <c r="I44" s="13" t="s">
        <v>6</v>
      </c>
      <c r="J44" s="30">
        <f t="shared" si="5"/>
        <v>1706.99</v>
      </c>
      <c r="K44" s="3"/>
      <c r="L44" s="3"/>
      <c r="M44" s="3"/>
      <c r="N44" s="3"/>
      <c r="O44" s="3"/>
    </row>
    <row r="45" spans="1:15" x14ac:dyDescent="0.3">
      <c r="A45" s="12">
        <v>21</v>
      </c>
      <c r="B45" s="10">
        <v>45566</v>
      </c>
      <c r="C45" s="13">
        <f t="shared" si="1"/>
        <v>2091.9129499999999</v>
      </c>
      <c r="D45" s="13">
        <f t="shared" si="2"/>
        <v>1706.99</v>
      </c>
      <c r="E45" s="13">
        <f t="shared" si="3"/>
        <v>697.25744999999995</v>
      </c>
      <c r="F45" s="13">
        <f t="shared" si="4"/>
        <v>0.02</v>
      </c>
      <c r="G45" s="13">
        <f t="shared" si="0"/>
        <v>1009.7125500000001</v>
      </c>
      <c r="H45" s="13" t="s">
        <v>6</v>
      </c>
      <c r="I45" s="13" t="s">
        <v>6</v>
      </c>
      <c r="J45" s="30">
        <f t="shared" si="5"/>
        <v>1706.99</v>
      </c>
      <c r="K45" s="3"/>
      <c r="L45" s="3"/>
      <c r="M45" s="3"/>
      <c r="N45" s="3"/>
      <c r="O45" s="3"/>
    </row>
    <row r="46" spans="1:15" x14ac:dyDescent="0.3">
      <c r="A46" s="12">
        <v>22</v>
      </c>
      <c r="B46" s="10">
        <v>45597</v>
      </c>
      <c r="C46" s="13">
        <f t="shared" si="1"/>
        <v>1394.6554999999998</v>
      </c>
      <c r="D46" s="13">
        <f t="shared" si="2"/>
        <v>1706.99</v>
      </c>
      <c r="E46" s="13">
        <f t="shared" si="3"/>
        <v>697.25744999999995</v>
      </c>
      <c r="F46" s="13">
        <f t="shared" si="4"/>
        <v>0.02</v>
      </c>
      <c r="G46" s="13">
        <f t="shared" si="0"/>
        <v>1009.7125500000001</v>
      </c>
      <c r="H46" s="13" t="s">
        <v>6</v>
      </c>
      <c r="I46" s="13" t="s">
        <v>6</v>
      </c>
      <c r="J46" s="30">
        <f t="shared" si="5"/>
        <v>1706.99</v>
      </c>
      <c r="K46" s="3"/>
      <c r="L46" s="3"/>
      <c r="M46" s="3"/>
      <c r="N46" s="3"/>
      <c r="O46" s="3"/>
    </row>
    <row r="47" spans="1:15" x14ac:dyDescent="0.3">
      <c r="A47" s="12">
        <v>23</v>
      </c>
      <c r="B47" s="10">
        <v>45627</v>
      </c>
      <c r="C47" s="13">
        <f t="shared" si="1"/>
        <v>697.38804999999991</v>
      </c>
      <c r="D47" s="13">
        <f t="shared" si="2"/>
        <v>1706.99</v>
      </c>
      <c r="E47" s="13">
        <f t="shared" si="3"/>
        <v>697.26744999999994</v>
      </c>
      <c r="F47" s="13">
        <f t="shared" si="4"/>
        <v>0.01</v>
      </c>
      <c r="G47" s="13">
        <f t="shared" si="0"/>
        <v>1009.7125500000001</v>
      </c>
      <c r="H47" s="13" t="s">
        <v>6</v>
      </c>
      <c r="I47" s="13" t="s">
        <v>6</v>
      </c>
      <c r="J47" s="30">
        <f t="shared" si="5"/>
        <v>1706.99</v>
      </c>
      <c r="K47" s="3"/>
      <c r="L47" s="3"/>
      <c r="M47" s="3"/>
      <c r="N47" s="3"/>
      <c r="O47" s="3"/>
    </row>
    <row r="48" spans="1:15" x14ac:dyDescent="0.3">
      <c r="A48" s="12">
        <v>24</v>
      </c>
      <c r="B48" s="10">
        <v>45658</v>
      </c>
      <c r="C48" s="13">
        <f t="shared" si="1"/>
        <v>0</v>
      </c>
      <c r="D48" s="13">
        <f t="shared" si="2"/>
        <v>1707.1106</v>
      </c>
      <c r="E48" s="13">
        <f t="shared" si="3"/>
        <v>697.38804999999991</v>
      </c>
      <c r="F48" s="13">
        <f t="shared" si="4"/>
        <v>0.01</v>
      </c>
      <c r="G48" s="13">
        <f t="shared" si="0"/>
        <v>1009.7125500000001</v>
      </c>
      <c r="H48" s="13" t="s">
        <v>6</v>
      </c>
      <c r="I48" s="13" t="s">
        <v>6</v>
      </c>
      <c r="J48" s="30">
        <f t="shared" si="5"/>
        <v>1707.1106</v>
      </c>
      <c r="K48" s="3"/>
      <c r="L48" s="3"/>
      <c r="M48" s="3"/>
      <c r="N48" s="3"/>
      <c r="O48" s="3"/>
    </row>
    <row r="49" spans="1:15" s="14" customFormat="1" x14ac:dyDescent="0.3">
      <c r="A49" s="31"/>
      <c r="B49" s="31"/>
      <c r="C49" s="31"/>
      <c r="D49" s="31"/>
      <c r="E49" s="32">
        <f>SUM(E25:E48)</f>
        <v>28848.93</v>
      </c>
      <c r="F49" s="32">
        <f t="shared" ref="F49:G49" si="6">SUM(F25:F48)</f>
        <v>2.399999999999999</v>
      </c>
      <c r="G49" s="32">
        <f t="shared" si="6"/>
        <v>12116.5506</v>
      </c>
      <c r="H49" s="32">
        <f>SUM(H24:H48)</f>
        <v>1749.93</v>
      </c>
      <c r="I49" s="32">
        <f>SUM(I24:I48)</f>
        <v>4200</v>
      </c>
      <c r="J49" s="31"/>
      <c r="K49" s="31"/>
      <c r="L49" s="31"/>
      <c r="M49" s="31"/>
      <c r="N49" s="31"/>
      <c r="O49" s="31"/>
    </row>
    <row r="50" spans="1:1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 algorithmName="SHA-512" hashValue="EPtYoIMjOl85MM2yFLNlrbyEFP/9dLhZ7qQCFYPQvxSp7nEJ2lSv0ZYBZlit1VW46rhGcJ5qHmyf0Mal5L0jjA==" saltValue="CTLJVSo11TQPfRvQMUqlyQ==" spinCount="100000" sheet="1" objects="1" scenarios="1"/>
  <mergeCells count="26">
    <mergeCell ref="G5:J5"/>
    <mergeCell ref="A1:F1"/>
    <mergeCell ref="A10:E10"/>
    <mergeCell ref="A12:D12"/>
    <mergeCell ref="A13:D13"/>
    <mergeCell ref="A9:D9"/>
    <mergeCell ref="E4:F4"/>
    <mergeCell ref="A6:E6"/>
    <mergeCell ref="A8:E8"/>
    <mergeCell ref="A11:E11"/>
    <mergeCell ref="A15:E15"/>
    <mergeCell ref="A22:I22"/>
    <mergeCell ref="A7:E7"/>
    <mergeCell ref="A14:E14"/>
    <mergeCell ref="A2:F2"/>
    <mergeCell ref="A3:F3"/>
    <mergeCell ref="A4:D4"/>
    <mergeCell ref="A17:F17"/>
    <mergeCell ref="A18:E18"/>
    <mergeCell ref="A19:E19"/>
    <mergeCell ref="A20:E20"/>
    <mergeCell ref="A21:E21"/>
    <mergeCell ref="A16:F16"/>
    <mergeCell ref="A5:C5"/>
    <mergeCell ref="G11:I11"/>
    <mergeCell ref="G4:K4"/>
  </mergeCells>
  <conditionalFormatting sqref="F5">
    <cfRule type="colorScale" priority="3">
      <colorScale>
        <cfvo type="percent" val="&quot;10%F4&quot;"/>
        <cfvo type="max"/>
        <color rgb="FFFF7128"/>
        <color rgb="FFFFEF9C"/>
      </colorScale>
    </cfRule>
  </conditionalFormatting>
  <dataValidations count="3">
    <dataValidation type="decimal" operator="greaterThanOrEqual" allowBlank="1" showInputMessage="1" showErrorMessage="1" errorTitle="Обмеження по мінімальній сумі" error="МІнімальна вартість товару для оформлення кредиту складає 1590 грн" sqref="E4:F4">
      <formula1>300</formula1>
    </dataValidation>
    <dataValidation operator="greaterThanOrEqual" allowBlank="1" showInputMessage="1" showErrorMessage="1" sqref="F5"/>
    <dataValidation type="decimal" errorStyle="warning" allowBlank="1" showErrorMessage="1" errorTitle="Обмеження по сумі" error="Потрібен більший первинний внесок" promptTitle="Обмеження максимальної суми" prompt="Потрібен більший первинний внесок" sqref="F11">
      <formula1>1428</formula1>
      <formula2>200000</formula2>
    </dataValidation>
  </dataValidations>
  <pageMargins left="0.7" right="0.7" top="0.75" bottom="0.75" header="0.3" footer="0.3"/>
  <pageSetup paperSize="9" scale="70" orientation="portrait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Аркуш2!$A$2:$A$5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4" x14ac:dyDescent="0.3"/>
  <cols>
    <col min="1" max="1" width="18.109375" style="14" customWidth="1"/>
    <col min="2" max="2" width="8.88671875" style="14"/>
    <col min="3" max="3" width="18.109375" style="14" customWidth="1"/>
    <col min="4" max="16384" width="8.88671875" style="14"/>
  </cols>
  <sheetData>
    <row r="1" spans="1:5" x14ac:dyDescent="0.3">
      <c r="A1" s="16" t="s">
        <v>3</v>
      </c>
    </row>
    <row r="2" spans="1:5" x14ac:dyDescent="0.3">
      <c r="A2" s="14">
        <v>4</v>
      </c>
      <c r="C2" s="15"/>
      <c r="E2" s="15"/>
    </row>
    <row r="3" spans="1:5" x14ac:dyDescent="0.3">
      <c r="A3" s="14">
        <v>6</v>
      </c>
      <c r="C3" s="15"/>
    </row>
    <row r="4" spans="1:5" x14ac:dyDescent="0.3">
      <c r="A4" s="14">
        <v>10</v>
      </c>
      <c r="C4" s="15"/>
    </row>
    <row r="5" spans="1:5" x14ac:dyDescent="0.3">
      <c r="A5" s="14">
        <v>12</v>
      </c>
    </row>
    <row r="14" spans="1:5" x14ac:dyDescent="0.3">
      <c r="C14" s="15"/>
    </row>
  </sheetData>
  <sheetProtection algorithmName="SHA-512" hashValue="iIFt4C885pjCEEWSSDxDlKZSvNs4f6XKUTmpZszOO1rfKm17S6UldbE/RsNi1eRYphpD8ncj4K+BpRA0Sa4SXw==" saltValue="TYeaMom7heVEM2QTWMUUJw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Макеева Наталия Валериевна</dc:creator>
  <cp:lastModifiedBy>Макеева Наталия Валериевна</cp:lastModifiedBy>
  <cp:lastPrinted>2023-03-22T11:42:59Z</cp:lastPrinted>
  <dcterms:created xsi:type="dcterms:W3CDTF">2023-03-22T07:49:18Z</dcterms:created>
  <dcterms:modified xsi:type="dcterms:W3CDTF">2023-11-15T19:10:10Z</dcterms:modified>
</cp:coreProperties>
</file>